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<sst xmlns="http://schemas.openxmlformats.org/spreadsheetml/2006/main" count="168" uniqueCount="114">
  <si>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</si>
  <si>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</si>
  <si>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</si>
  <si>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</si>
  <si>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</si>
  <si>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</si>
  <si>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</si>
  <si>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</si>
  <si>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</si>
  <si>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</si>
  <si>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</si>
  <si>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</si>
  <si>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</si>
  <si>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</si>
  <si>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</si>
  <si>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</si>
  <si>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</si>
  <si>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</si>
  <si>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</si>
  <si>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</si>
  <si>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</si>
  <si>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</si>
  <si>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</si>
  <si>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</si>
  <si>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</si>
  <si>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</si>
  <si>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</si>
  <si>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</si>
  <si>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</si>
  <si>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</si>
  <si>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</si>
  <si>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</si>
  <si>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</si>
  <si>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</si>
  <si>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</si>
  <si>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</si>
  <si>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</si>
  <si>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</si>
  <si>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</si>
  <si>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</si>
  <si>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</si>
  <si>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</si>
  <si>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</si>
  <si>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</si>
  <si>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</si>
  <si>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</si>
  <si>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</si>
  <si>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</si>
  <si>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</si>
  <si>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</si>
  <si>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</si>
  <si>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</si>
  <si>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</si>
  <si>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</si>
  <si>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</si>
  <si>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</si>
  <si>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</si>
  <si>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</si>
  <si>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</si>
  <si>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</si>
  <si>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</si>
  <si>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</si>
  <si>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</si>
  <si>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</si>
  <si>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</si>
  <si>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</si>
  <si>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</si>
  <si>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</si>
  <si>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</si>
  <si>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</si>
  <si>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</si>
  <si>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</si>
  <si>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</si>
  <si>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</si>
  <si>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</si>
  <si>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</si>
  <si>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</si>
  <si>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</si>
  <si>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</si>
  <si>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</si>
  <si>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</si>
  <si>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</si>
  <si>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</si>
  <si>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</si>
  <si>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</si>
  <si>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</si>
  <si>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</si>
  <si>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</si>
  <si>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</si>
  <si>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</si>
  <si>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</si>
  <si>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</si>
  <si>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</si>
  <si>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</si>
  <si>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</si>
  <si>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</si>
  <si>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</si>
  <si>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</si>
  <si>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</si>
  <si>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</si>
  <si>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</si>
  <si>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</si>
  <si>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</si>
  <si>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</si>
  <si>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2 місяці тис.грн.</t>
  </si>
  <si>
    <t>План на рік, тис.грн.</t>
  </si>
  <si>
    <t>Відхилення від плану на рік, тис.грн.</t>
  </si>
  <si>
    <t>Відсоток виконання плану на рік</t>
  </si>
  <si>
    <t>Відсоток виконання  плану 2 місяців</t>
  </si>
  <si>
    <t>Членські внески до асоціацій ОМС</t>
  </si>
  <si>
    <t>Програма здійсн.зах., що не передб.в бюджеті</t>
  </si>
  <si>
    <t>ен</t>
  </si>
  <si>
    <t>Відхилення від  плану 2 місяців, тис.грн.</t>
  </si>
  <si>
    <t>Аналіз використання коштів загального фонду міського бюджету станом на 27.02.2019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</si>
</sst>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6" borderId="10" xfId="0" applyNumberFormat="1" applyFont="1" applyFill="1" applyBorder="1" applyAlignment="1">
      <alignment/>
    </xf>
    <xf numFmtId="190" fontId="4" fillId="36" borderId="12" xfId="0" applyNumberFormat="1" applyFont="1" applyFill="1" applyBorder="1" applyAlignment="1">
      <alignment/>
    </xf>
    <xf numFmtId="190" fontId="5" fillId="36" borderId="10" xfId="0" applyNumberFormat="1" applyFont="1" applyFill="1" applyBorder="1" applyAlignment="1">
      <alignment wrapText="1"/>
    </xf>
    <xf numFmtId="190" fontId="5" fillId="36" borderId="14" xfId="0" applyNumberFormat="1" applyFont="1" applyFill="1" applyBorder="1" applyAlignment="1">
      <alignment wrapText="1"/>
    </xf>
    <xf numFmtId="190" fontId="4" fillId="36" borderId="13" xfId="0" applyNumberFormat="1" applyFont="1" applyFill="1" applyBorder="1" applyAlignment="1">
      <alignment vertical="center" wrapText="1"/>
    </xf>
    <xf numFmtId="190" fontId="4" fillId="36" borderId="13" xfId="0" applyNumberFormat="1" applyFont="1" applyFill="1" applyBorder="1" applyAlignment="1">
      <alignment/>
    </xf>
    <xf numFmtId="190" fontId="4" fillId="36" borderId="11" xfId="0" applyNumberFormat="1" applyFont="1" applyFill="1" applyBorder="1" applyAlignment="1">
      <alignment/>
    </xf>
    <xf numFmtId="189" fontId="4" fillId="36" borderId="11" xfId="0" applyNumberFormat="1" applyFont="1" applyFill="1" applyBorder="1" applyAlignment="1">
      <alignment/>
    </xf>
    <xf numFmtId="0" fontId="3" fillId="36" borderId="13" xfId="0" applyFont="1" applyFill="1" applyBorder="1" applyAlignment="1">
      <alignment wrapText="1"/>
    </xf>
    <xf numFmtId="190" fontId="5" fillId="36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фінансування'!$C$91:$C$95</c:f>
              <c:numCache>
                <c:ptCount val="4"/>
                <c:pt idx="0">
                  <c:v>208452.8</c:v>
                </c:pt>
                <c:pt idx="1">
                  <c:v>195523.2</c:v>
                </c:pt>
                <c:pt idx="2">
                  <c:v>2704.7</c:v>
                </c:pt>
                <c:pt idx="3">
                  <c:v>10224.899999999976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фінансування'!$D$91:$D$95</c:f>
              <c:numCache>
                <c:ptCount val="4"/>
                <c:pt idx="0">
                  <c:v>33743.8</c:v>
                </c:pt>
                <c:pt idx="1">
                  <c:v>32470.899999999994</c:v>
                </c:pt>
                <c:pt idx="2">
                  <c:v>408.8</c:v>
                </c:pt>
                <c:pt idx="3">
                  <c:v>864.1000000000088</c:v>
                </c:pt>
              </c:numCache>
            </c:numRef>
          </c:val>
          <c:shape val="box"/>
        </c:ser>
        <c:shape val="box"/>
        <c:axId val="32686453"/>
        <c:axId val="25742622"/>
      </c:bar3D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42622"/>
        <c:crosses val="autoZero"/>
        <c:auto val="1"/>
        <c:lblOffset val="100"/>
        <c:tickLblSkip val="1"/>
        <c:noMultiLvlLbl val="0"/>
      </c:catAx>
      <c:valAx>
        <c:axId val="25742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6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913995.7</c:v>
                </c:pt>
                <c:pt idx="1">
                  <c:v>298956.2</c:v>
                </c:pt>
                <c:pt idx="2">
                  <c:v>726684.4</c:v>
                </c:pt>
                <c:pt idx="3">
                  <c:v>104.9</c:v>
                </c:pt>
                <c:pt idx="4">
                  <c:v>43439.8</c:v>
                </c:pt>
                <c:pt idx="5">
                  <c:v>98224.3</c:v>
                </c:pt>
                <c:pt idx="6">
                  <c:v>13016.5</c:v>
                </c:pt>
                <c:pt idx="7">
                  <c:v>32525.799999999916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137165.8</c:v>
                </c:pt>
                <c:pt idx="1">
                  <c:v>33850.1</c:v>
                </c:pt>
                <c:pt idx="2">
                  <c:v>113049.6</c:v>
                </c:pt>
                <c:pt idx="3">
                  <c:v>16.3</c:v>
                </c:pt>
                <c:pt idx="4">
                  <c:v>6021.799999999999</c:v>
                </c:pt>
                <c:pt idx="5">
                  <c:v>14959.499999999998</c:v>
                </c:pt>
                <c:pt idx="6">
                  <c:v>2068</c:v>
                </c:pt>
                <c:pt idx="7">
                  <c:v>1050.5999999999858</c:v>
                </c:pt>
              </c:numCache>
            </c:numRef>
          </c:val>
          <c:shape val="box"/>
        </c:ser>
        <c:shape val="box"/>
        <c:axId val="30357007"/>
        <c:axId val="4777608"/>
      </c:bar3DChart>
      <c:catAx>
        <c:axId val="3035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7608"/>
        <c:crosses val="autoZero"/>
        <c:auto val="1"/>
        <c:lblOffset val="100"/>
        <c:tickLblSkip val="1"/>
        <c:noMultiLvlLbl val="0"/>
      </c:catAx>
      <c:valAx>
        <c:axId val="4777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57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417020.2</c:v>
                </c:pt>
                <c:pt idx="1">
                  <c:v>204458.2</c:v>
                </c:pt>
                <c:pt idx="2">
                  <c:v>999.4</c:v>
                </c:pt>
                <c:pt idx="3">
                  <c:v>416020.8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55327</c:v>
                </c:pt>
                <c:pt idx="1">
                  <c:v>33985.4</c:v>
                </c:pt>
                <c:pt idx="3">
                  <c:v>55327</c:v>
                </c:pt>
              </c:numCache>
            </c:numRef>
          </c:val>
          <c:shape val="box"/>
        </c:ser>
        <c:shape val="box"/>
        <c:axId val="42998473"/>
        <c:axId val="51441938"/>
      </c:bar3D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41938"/>
        <c:crosses val="autoZero"/>
        <c:auto val="1"/>
        <c:lblOffset val="100"/>
        <c:tickLblSkip val="1"/>
        <c:noMultiLvlLbl val="0"/>
      </c:catAx>
      <c:valAx>
        <c:axId val="51441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8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26954.8</c:v>
                </c:pt>
                <c:pt idx="1">
                  <c:v>14255.8</c:v>
                </c:pt>
                <c:pt idx="2">
                  <c:v>87.1</c:v>
                </c:pt>
                <c:pt idx="3">
                  <c:v>2087.8</c:v>
                </c:pt>
                <c:pt idx="4">
                  <c:v>1082.6</c:v>
                </c:pt>
                <c:pt idx="5">
                  <c:v>221.9</c:v>
                </c:pt>
                <c:pt idx="6">
                  <c:v>9219.6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3225.6000000000004</c:v>
                </c:pt>
                <c:pt idx="1">
                  <c:v>2027.3000000000002</c:v>
                </c:pt>
                <c:pt idx="2">
                  <c:v>12</c:v>
                </c:pt>
                <c:pt idx="3">
                  <c:v>274.90000000000003</c:v>
                </c:pt>
                <c:pt idx="4">
                  <c:v>47.7</c:v>
                </c:pt>
                <c:pt idx="5">
                  <c:v>5.1</c:v>
                </c:pt>
                <c:pt idx="6">
                  <c:v>858.6</c:v>
                </c:pt>
              </c:numCache>
            </c:numRef>
          </c:val>
          <c:shape val="box"/>
        </c:ser>
        <c:shape val="box"/>
        <c:axId val="60324259"/>
        <c:axId val="6047420"/>
      </c:bar3DChart>
      <c:catAx>
        <c:axId val="6032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7420"/>
        <c:crosses val="autoZero"/>
        <c:auto val="1"/>
        <c:lblOffset val="100"/>
        <c:tickLblSkip val="1"/>
        <c:noMultiLvlLbl val="0"/>
      </c:catAx>
      <c:valAx>
        <c:axId val="6047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фінансування'!$C$52:$C$58</c:f>
              <c:numCache>
                <c:ptCount val="7"/>
                <c:pt idx="0">
                  <c:v>54626.8</c:v>
                </c:pt>
                <c:pt idx="1">
                  <c:v>25959.9</c:v>
                </c:pt>
                <c:pt idx="2">
                  <c:v>16.4</c:v>
                </c:pt>
                <c:pt idx="3">
                  <c:v>4332.1</c:v>
                </c:pt>
                <c:pt idx="4">
                  <c:v>1406.6</c:v>
                </c:pt>
                <c:pt idx="5">
                  <c:v>4640</c:v>
                </c:pt>
                <c:pt idx="6">
                  <c:v>18271.800000000003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фінансування'!$D$52:$D$58</c:f>
              <c:numCache>
                <c:ptCount val="7"/>
                <c:pt idx="0">
                  <c:v>5278</c:v>
                </c:pt>
                <c:pt idx="1">
                  <c:v>3822.4</c:v>
                </c:pt>
                <c:pt idx="3">
                  <c:v>83.29999999999998</c:v>
                </c:pt>
                <c:pt idx="4">
                  <c:v>103.4</c:v>
                </c:pt>
                <c:pt idx="5">
                  <c:v>227</c:v>
                </c:pt>
                <c:pt idx="6">
                  <c:v>1041.8999999999999</c:v>
                </c:pt>
              </c:numCache>
            </c:numRef>
          </c:val>
          <c:shape val="box"/>
        </c:ser>
        <c:shape val="box"/>
        <c:axId val="54426781"/>
        <c:axId val="20078982"/>
      </c:bar3DChart>
      <c:catAx>
        <c:axId val="544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78982"/>
        <c:crosses val="autoZero"/>
        <c:auto val="1"/>
        <c:lblOffset val="100"/>
        <c:tickLblSkip val="2"/>
        <c:noMultiLvlLbl val="0"/>
      </c:catAx>
      <c:valAx>
        <c:axId val="20078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6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фінансування'!$C$60:$C$65</c:f>
              <c:numCache>
                <c:ptCount val="6"/>
                <c:pt idx="0">
                  <c:v>10268.5</c:v>
                </c:pt>
                <c:pt idx="1">
                  <c:v>3626.9</c:v>
                </c:pt>
                <c:pt idx="2">
                  <c:v>420</c:v>
                </c:pt>
                <c:pt idx="3">
                  <c:v>475.3</c:v>
                </c:pt>
                <c:pt idx="4">
                  <c:v>4848.7</c:v>
                </c:pt>
                <c:pt idx="5">
                  <c:v>897.6000000000004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фінансування'!$D$60:$D$65</c:f>
              <c:numCache>
                <c:ptCount val="6"/>
                <c:pt idx="0">
                  <c:v>604.2</c:v>
                </c:pt>
                <c:pt idx="1">
                  <c:v>548.8000000000001</c:v>
                </c:pt>
                <c:pt idx="3">
                  <c:v>53.6</c:v>
                </c:pt>
                <c:pt idx="5">
                  <c:v>1.7999999999999758</c:v>
                </c:pt>
              </c:numCache>
            </c:numRef>
          </c:val>
          <c:shape val="box"/>
        </c:ser>
        <c:shape val="box"/>
        <c:axId val="46493111"/>
        <c:axId val="15784816"/>
      </c:bar3DChart>
      <c:catAx>
        <c:axId val="4649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84816"/>
        <c:crosses val="autoZero"/>
        <c:auto val="1"/>
        <c:lblOffset val="100"/>
        <c:tickLblSkip val="1"/>
        <c:noMultiLvlLbl val="0"/>
      </c:catAx>
      <c:valAx>
        <c:axId val="15784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3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фінансування'!$C$96</c:f>
              <c:numCache>
                <c:ptCount val="1"/>
                <c:pt idx="0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фінансування'!$D$96</c:f>
              <c:numCache>
                <c:ptCount val="1"/>
                <c:pt idx="0">
                  <c:v>4801.599999999999</c:v>
                </c:pt>
              </c:numCache>
            </c:numRef>
          </c:val>
          <c:shape val="box"/>
        </c:ser>
        <c:shape val="box"/>
        <c:axId val="7845617"/>
        <c:axId val="3501690"/>
      </c:bar3DChart>
      <c:catAx>
        <c:axId val="78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01690"/>
        <c:crosses val="autoZero"/>
        <c:auto val="1"/>
        <c:lblOffset val="100"/>
        <c:tickLblSkip val="1"/>
        <c:noMultiLvlLbl val="0"/>
      </c:catAx>
      <c:valAx>
        <c:axId val="3501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5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фінансування'!$C$52,'аналіз фінансування'!$C$60,'аналіз фінансування'!$C$91,'аналіз фінансування'!$C$96)</c:f>
              <c:numCache>
                <c:ptCount val="7"/>
                <c:pt idx="0">
                  <c:v>913995.7</c:v>
                </c:pt>
                <c:pt idx="1">
                  <c:v>417020.2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208452.8</c:v>
                </c:pt>
                <c:pt idx="6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фінансування'!$D$52,'аналіз фінансування'!$D$60,'аналіз фінансування'!$D$91,'аналіз фінансування'!$D$96)</c:f>
              <c:numCache>
                <c:ptCount val="7"/>
                <c:pt idx="0">
                  <c:v>137165.8</c:v>
                </c:pt>
                <c:pt idx="1">
                  <c:v>55327</c:v>
                </c:pt>
                <c:pt idx="2">
                  <c:v>3225.6000000000004</c:v>
                </c:pt>
                <c:pt idx="3">
                  <c:v>5278</c:v>
                </c:pt>
                <c:pt idx="4">
                  <c:v>604.2</c:v>
                </c:pt>
                <c:pt idx="5">
                  <c:v>33743.8</c:v>
                </c:pt>
                <c:pt idx="6">
                  <c:v>4801.599999999999</c:v>
                </c:pt>
              </c:numCache>
            </c:numRef>
          </c:val>
          <c:shape val="box"/>
        </c:ser>
        <c:shape val="box"/>
        <c:axId val="31515211"/>
        <c:axId val="15201444"/>
      </c:bar3DChart>
      <c:catAx>
        <c:axId val="3151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01444"/>
        <c:crosses val="autoZero"/>
        <c:auto val="1"/>
        <c:lblOffset val="100"/>
        <c:tickLblSkip val="1"/>
        <c:noMultiLvlLbl val="0"/>
      </c:catAx>
      <c:valAx>
        <c:axId val="15201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фінансування'!$C$156:$C$161</c:f>
              <c:numCache>
                <c:ptCount val="6"/>
                <c:pt idx="0">
                  <c:v>984456.8000000002</c:v>
                </c:pt>
                <c:pt idx="1">
                  <c:v>125178.8</c:v>
                </c:pt>
                <c:pt idx="2">
                  <c:v>48385.3</c:v>
                </c:pt>
                <c:pt idx="3">
                  <c:v>89996.19999999998</c:v>
                </c:pt>
                <c:pt idx="4">
                  <c:v>122.9</c:v>
                </c:pt>
                <c:pt idx="5">
                  <c:v>1237126.8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фінансування'!$D$156:$D$161</c:f>
              <c:numCache>
                <c:ptCount val="6"/>
                <c:pt idx="0">
                  <c:v>154541.1</c:v>
                </c:pt>
                <c:pt idx="1">
                  <c:v>16979.399999999998</c:v>
                </c:pt>
                <c:pt idx="2">
                  <c:v>6125.4</c:v>
                </c:pt>
                <c:pt idx="3">
                  <c:v>9075.3</c:v>
                </c:pt>
                <c:pt idx="4">
                  <c:v>16.3</c:v>
                </c:pt>
                <c:pt idx="5">
                  <c:v>119268</c:v>
                </c:pt>
              </c:numCache>
            </c:numRef>
          </c:val>
          <c:shape val="box"/>
        </c:ser>
        <c:shape val="box"/>
        <c:axId val="2595269"/>
        <c:axId val="23357422"/>
      </c:bar3DChart>
      <c:catAx>
        <c:axId val="25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57422"/>
        <c:crosses val="autoZero"/>
        <c:auto val="1"/>
        <c:lblOffset val="100"/>
        <c:tickLblSkip val="1"/>
        <c:noMultiLvlLbl val="0"/>
      </c:catAx>
      <c:valAx>
        <c:axId val="23357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0"/>
  <sheetViews>
    <sheetView tabSelected="1" view="pageBreakPreview" zoomScale="85" zoomScaleNormal="80" zoomScaleSheetLayoutView="85" workbookViewId="0" topLeftCell="E132">
      <selection activeCell="D153" sqref="D153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3" width="11.00390625" style="138" bestFit="1" customWidth="1"/>
    <col min="14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72" t="s">
        <v>113</v>
      </c>
      <c r="B1" s="172"/>
      <c r="C1" s="172"/>
      <c r="D1" s="172"/>
      <c r="E1" s="172"/>
      <c r="F1" s="172"/>
      <c r="G1" s="172"/>
      <c r="H1" s="172"/>
      <c r="I1" s="172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76" t="s">
        <v>38</v>
      </c>
      <c r="B3" s="179" t="s">
        <v>104</v>
      </c>
      <c r="C3" s="173" t="s">
        <v>105</v>
      </c>
      <c r="D3" s="173" t="s">
        <v>20</v>
      </c>
      <c r="E3" s="173" t="s">
        <v>19</v>
      </c>
      <c r="F3" s="173" t="s">
        <v>108</v>
      </c>
      <c r="G3" s="173" t="s">
        <v>107</v>
      </c>
      <c r="H3" s="173" t="s">
        <v>112</v>
      </c>
      <c r="I3" s="173" t="s">
        <v>106</v>
      </c>
    </row>
    <row r="4" spans="1:9" ht="24.75" customHeight="1">
      <c r="A4" s="177"/>
      <c r="B4" s="180"/>
      <c r="C4" s="174"/>
      <c r="D4" s="174"/>
      <c r="E4" s="174"/>
      <c r="F4" s="174"/>
      <c r="G4" s="174"/>
      <c r="H4" s="174"/>
      <c r="I4" s="174"/>
    </row>
    <row r="5" spans="1:10" ht="39" customHeight="1" thickBot="1">
      <c r="A5" s="178"/>
      <c r="B5" s="181"/>
      <c r="C5" s="175"/>
      <c r="D5" s="175"/>
      <c r="E5" s="175"/>
      <c r="F5" s="175"/>
      <c r="G5" s="175"/>
      <c r="H5" s="175"/>
      <c r="I5" s="175"/>
      <c r="J5" s="151"/>
    </row>
    <row r="6" spans="1:11" ht="18.75" thickBot="1">
      <c r="A6" s="18" t="s">
        <v>24</v>
      </c>
      <c r="B6" s="35">
        <v>166896.8</v>
      </c>
      <c r="C6" s="36">
        <v>913995.7</v>
      </c>
      <c r="D6" s="37">
        <f>11099.2+9623.1+1.9+134.7+531.1+44.4+1464.8+43.3+356.7+16648.5+1044.7+22.2+15069.2+2403.3+273.5+220.6+39.4+2669.9+423.4+804.7+85+14514.4+10510.2+446+2528.1+222.7+0.8+3854.8+741.1+3541.7+24275+12398.6+1128.8</f>
        <v>137165.8</v>
      </c>
      <c r="E6" s="3">
        <f>D6/D155*100</f>
        <v>44.824619165341794</v>
      </c>
      <c r="F6" s="3">
        <f>D6/B6*100</f>
        <v>82.18599757454906</v>
      </c>
      <c r="G6" s="3">
        <f aca="true" t="shared" si="0" ref="G6:G43">D6/C6*100</f>
        <v>15.007269727855393</v>
      </c>
      <c r="H6" s="37">
        <f>B6-D6</f>
        <v>29731</v>
      </c>
      <c r="I6" s="37">
        <f aca="true" t="shared" si="1" ref="I6:I43">C6-D6</f>
        <v>776829.8999999999</v>
      </c>
      <c r="J6" s="152"/>
      <c r="K6" s="153">
        <f>H6-H7</f>
        <v>17541.9</v>
      </c>
    </row>
    <row r="7" spans="1:12" s="85" customFormat="1" ht="18.75">
      <c r="A7" s="128" t="s">
        <v>79</v>
      </c>
      <c r="B7" s="129">
        <v>46039.2</v>
      </c>
      <c r="C7" s="130">
        <v>298956.2</v>
      </c>
      <c r="D7" s="131">
        <f>9623.1+1044.7+273.5+10510.2+12398.6</f>
        <v>33850.1</v>
      </c>
      <c r="E7" s="132">
        <f>D7/D6*100</f>
        <v>24.67823612008241</v>
      </c>
      <c r="F7" s="132">
        <f>D7/B7*100</f>
        <v>73.52451823663313</v>
      </c>
      <c r="G7" s="132">
        <f>D7/C7*100</f>
        <v>11.322762331070571</v>
      </c>
      <c r="H7" s="131">
        <f>B7-D7</f>
        <v>12189.099999999999</v>
      </c>
      <c r="I7" s="131">
        <f t="shared" si="1"/>
        <v>265106.10000000003</v>
      </c>
      <c r="J7" s="147"/>
      <c r="K7" s="153"/>
      <c r="L7" s="127"/>
    </row>
    <row r="8" spans="1:12" s="151" customFormat="1" ht="18">
      <c r="A8" s="92" t="s">
        <v>3</v>
      </c>
      <c r="B8" s="114">
        <v>115413</v>
      </c>
      <c r="C8" s="115">
        <v>726684.4</v>
      </c>
      <c r="D8" s="94">
        <f>20722.3+1.9+16592.9+1044.7+15069.2+2403.3+273.5+14243.2+10510.2+12398.6+19789.8</f>
        <v>113049.6</v>
      </c>
      <c r="E8" s="96">
        <f>D8/D6*100</f>
        <v>82.41821211993077</v>
      </c>
      <c r="F8" s="96">
        <f>D8/B8*100</f>
        <v>97.95222375295678</v>
      </c>
      <c r="G8" s="96">
        <f t="shared" si="0"/>
        <v>15.556904758104068</v>
      </c>
      <c r="H8" s="94">
        <f>B8-D8</f>
        <v>2363.399999999994</v>
      </c>
      <c r="I8" s="94">
        <f t="shared" si="1"/>
        <v>613634.8</v>
      </c>
      <c r="J8" s="152"/>
      <c r="K8" s="153"/>
      <c r="L8" s="127"/>
    </row>
    <row r="9" spans="1:12" s="151" customFormat="1" ht="18">
      <c r="A9" s="92" t="s">
        <v>2</v>
      </c>
      <c r="B9" s="114">
        <v>16.3</v>
      </c>
      <c r="C9" s="115">
        <v>104.9</v>
      </c>
      <c r="D9" s="94">
        <v>16.3</v>
      </c>
      <c r="E9" s="116">
        <f>D9/D6*100</f>
        <v>0.011883428668079071</v>
      </c>
      <c r="F9" s="96">
        <f>D9/B9*100</f>
        <v>100</v>
      </c>
      <c r="G9" s="96">
        <f t="shared" si="0"/>
        <v>15.538608198284079</v>
      </c>
      <c r="H9" s="94">
        <f aca="true" t="shared" si="2" ref="H9:H43">B9-D9</f>
        <v>0</v>
      </c>
      <c r="I9" s="94">
        <f t="shared" si="1"/>
        <v>88.60000000000001</v>
      </c>
      <c r="J9" s="152"/>
      <c r="K9" s="153"/>
      <c r="L9" s="127"/>
    </row>
    <row r="10" spans="1:12" s="151" customFormat="1" ht="18">
      <c r="A10" s="92" t="s">
        <v>1</v>
      </c>
      <c r="B10" s="114">
        <v>9469.9</v>
      </c>
      <c r="C10" s="115">
        <v>43439.8</v>
      </c>
      <c r="D10" s="133">
        <f>525.8+44.4+601.2+43.3+356.4+55.6+22.2+1183.8+262+357.1+64+47.5+133.7+449.5+46.4+224.9+741.1+480.4+382.5</f>
        <v>6021.799999999999</v>
      </c>
      <c r="E10" s="96">
        <f>D10/D6*100</f>
        <v>4.390161395916475</v>
      </c>
      <c r="F10" s="96">
        <f aca="true" t="shared" si="3" ref="F10:F41">D10/B10*100</f>
        <v>63.58884465517058</v>
      </c>
      <c r="G10" s="96">
        <f t="shared" si="0"/>
        <v>13.862402681411975</v>
      </c>
      <c r="H10" s="94">
        <f t="shared" si="2"/>
        <v>3448.1000000000004</v>
      </c>
      <c r="I10" s="94">
        <f t="shared" si="1"/>
        <v>37418</v>
      </c>
      <c r="J10" s="152"/>
      <c r="K10" s="153"/>
      <c r="L10" s="127"/>
    </row>
    <row r="11" spans="1:12" s="151" customFormat="1" ht="18">
      <c r="A11" s="92" t="s">
        <v>0</v>
      </c>
      <c r="B11" s="114">
        <v>35399.2</v>
      </c>
      <c r="C11" s="115">
        <v>98224.3</v>
      </c>
      <c r="D11" s="134">
        <f>39.4+1482.5+161.1+446.7+223.7+143.2+2067.6+42+0.7+3077.2+2292.1+4098.5+884.8</f>
        <v>14959.499999999998</v>
      </c>
      <c r="E11" s="96">
        <f>D11/D6*100</f>
        <v>10.90614424295269</v>
      </c>
      <c r="F11" s="96">
        <f t="shared" si="3"/>
        <v>42.259429591629186</v>
      </c>
      <c r="G11" s="96">
        <f t="shared" si="0"/>
        <v>15.229938009229894</v>
      </c>
      <c r="H11" s="94">
        <f t="shared" si="2"/>
        <v>20439.699999999997</v>
      </c>
      <c r="I11" s="94">
        <f t="shared" si="1"/>
        <v>83264.8</v>
      </c>
      <c r="J11" s="152"/>
      <c r="K11" s="153"/>
      <c r="L11" s="127"/>
    </row>
    <row r="12" spans="1:12" s="151" customFormat="1" ht="18">
      <c r="A12" s="92" t="s">
        <v>12</v>
      </c>
      <c r="B12" s="114">
        <v>2225.2</v>
      </c>
      <c r="C12" s="115">
        <v>13016.5</v>
      </c>
      <c r="D12" s="94">
        <f>134.7+863.6+21+169+134.3+503.1+242.3</f>
        <v>2068</v>
      </c>
      <c r="E12" s="96">
        <f>D12/D6*100</f>
        <v>1.5076644469685592</v>
      </c>
      <c r="F12" s="96">
        <f t="shared" si="3"/>
        <v>92.93546647492362</v>
      </c>
      <c r="G12" s="96">
        <f t="shared" si="0"/>
        <v>15.88752736910844</v>
      </c>
      <c r="H12" s="94">
        <f>B12-D12</f>
        <v>157.19999999999982</v>
      </c>
      <c r="I12" s="94">
        <f t="shared" si="1"/>
        <v>10948.5</v>
      </c>
      <c r="J12" s="152"/>
      <c r="K12" s="153"/>
      <c r="L12" s="127"/>
    </row>
    <row r="13" spans="1:12" s="151" customFormat="1" ht="18.75" thickBot="1">
      <c r="A13" s="92" t="s">
        <v>25</v>
      </c>
      <c r="B13" s="115">
        <f>B6-B8-B9-B10-B11-B12</f>
        <v>4373.199999999987</v>
      </c>
      <c r="C13" s="115">
        <f>C6-C8-C9-C10-C11-C12</f>
        <v>32525.799999999916</v>
      </c>
      <c r="D13" s="115">
        <f>D6-D8-D9-D10-D11-D12</f>
        <v>1050.5999999999858</v>
      </c>
      <c r="E13" s="96">
        <f>D13/D6*100</f>
        <v>0.7659343655634173</v>
      </c>
      <c r="F13" s="96">
        <f t="shared" si="3"/>
        <v>24.023598280435127</v>
      </c>
      <c r="G13" s="96">
        <f t="shared" si="0"/>
        <v>3.2300512208769305</v>
      </c>
      <c r="H13" s="94">
        <f t="shared" si="2"/>
        <v>3322.6000000000013</v>
      </c>
      <c r="I13" s="94">
        <f t="shared" si="1"/>
        <v>31475.19999999993</v>
      </c>
      <c r="J13" s="152"/>
      <c r="K13" s="153"/>
      <c r="L13" s="127"/>
    </row>
    <row r="14" spans="1:13" s="29" customFormat="1" ht="18.75" customHeight="1" hidden="1">
      <c r="A14" s="70" t="s">
        <v>59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8"/>
      <c r="L14" s="138"/>
      <c r="M14" s="138"/>
    </row>
    <row r="15" spans="1:13" s="29" customFormat="1" ht="18.75" customHeight="1" hidden="1">
      <c r="A15" s="70" t="s">
        <v>56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8"/>
      <c r="L15" s="138"/>
      <c r="M15" s="138"/>
    </row>
    <row r="16" spans="1:13" s="29" customFormat="1" ht="18.75" hidden="1">
      <c r="A16" s="70" t="s">
        <v>57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8"/>
      <c r="L16" s="138"/>
      <c r="M16" s="138"/>
    </row>
    <row r="17" spans="1:13" s="29" customFormat="1" ht="19.5" hidden="1" thickBot="1">
      <c r="A17" s="70" t="s">
        <v>58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8"/>
      <c r="L17" s="138"/>
      <c r="M17" s="138"/>
    </row>
    <row r="18" spans="1:11" ht="18.75" thickBot="1">
      <c r="A18" s="18" t="s">
        <v>17</v>
      </c>
      <c r="B18" s="35">
        <v>63175.6</v>
      </c>
      <c r="C18" s="36">
        <v>417020.2</v>
      </c>
      <c r="D18" s="37">
        <f>9880.4+236.6+6978.3+6921+371.7+499.9+9964.9+4030.7+430.2+29.9+505.9+258.6+9247.5+5793.8+177.6</f>
        <v>55327</v>
      </c>
      <c r="E18" s="3">
        <f>D18/D155*100</f>
        <v>18.080393979846768</v>
      </c>
      <c r="F18" s="3">
        <f>D18/B18*100</f>
        <v>87.5765327119964</v>
      </c>
      <c r="G18" s="3">
        <f t="shared" si="0"/>
        <v>13.267223026606384</v>
      </c>
      <c r="H18" s="37">
        <f>B18-D18</f>
        <v>7848.5999999999985</v>
      </c>
      <c r="I18" s="37">
        <f t="shared" si="1"/>
        <v>361693.2</v>
      </c>
      <c r="J18" s="152"/>
      <c r="K18" s="153">
        <f>H18-H19</f>
        <v>7757.800000000003</v>
      </c>
    </row>
    <row r="19" spans="1:13" s="85" customFormat="1" ht="18.75">
      <c r="A19" s="128" t="s">
        <v>80</v>
      </c>
      <c r="B19" s="129">
        <v>34076.2</v>
      </c>
      <c r="C19" s="130">
        <v>204458.2</v>
      </c>
      <c r="D19" s="131">
        <f>9880.4+236.6+6921+499.9+9964.9+430.2+258.6+5793.8</f>
        <v>33985.4</v>
      </c>
      <c r="E19" s="132">
        <f>D19/D18*100</f>
        <v>61.42642832613372</v>
      </c>
      <c r="F19" s="132">
        <f t="shared" si="3"/>
        <v>99.73353836401948</v>
      </c>
      <c r="G19" s="132">
        <f t="shared" si="0"/>
        <v>16.622175094958287</v>
      </c>
      <c r="H19" s="131">
        <f t="shared" si="2"/>
        <v>90.79999999999563</v>
      </c>
      <c r="I19" s="131">
        <f t="shared" si="1"/>
        <v>170472.80000000002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8">
      <c r="A24" s="92" t="s">
        <v>12</v>
      </c>
      <c r="B24" s="114">
        <v>90.9</v>
      </c>
      <c r="C24" s="115">
        <v>999.4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90.9</v>
      </c>
      <c r="I24" s="94">
        <f t="shared" si="1"/>
        <v>999.4</v>
      </c>
      <c r="J24" s="152"/>
      <c r="K24" s="153">
        <f>C24-B24</f>
        <v>908.5</v>
      </c>
    </row>
    <row r="25" spans="1:11" s="151" customFormat="1" ht="18.75" thickBot="1">
      <c r="A25" s="92" t="s">
        <v>25</v>
      </c>
      <c r="B25" s="115">
        <f>B18-B24</f>
        <v>63084.7</v>
      </c>
      <c r="C25" s="115">
        <f>C18-C24</f>
        <v>416020.8</v>
      </c>
      <c r="D25" s="115">
        <f>D18-D24</f>
        <v>55327</v>
      </c>
      <c r="E25" s="96">
        <f>D25/D18*100</f>
        <v>100</v>
      </c>
      <c r="F25" s="96">
        <f t="shared" si="3"/>
        <v>87.70272348128786</v>
      </c>
      <c r="G25" s="96">
        <f t="shared" si="0"/>
        <v>13.299094660651583</v>
      </c>
      <c r="H25" s="94">
        <f>B25-D25</f>
        <v>7757.699999999997</v>
      </c>
      <c r="I25" s="94">
        <f t="shared" si="1"/>
        <v>360693.8</v>
      </c>
      <c r="J25" s="152"/>
      <c r="K25" s="153"/>
    </row>
    <row r="26" spans="1:11" ht="56.25" hidden="1">
      <c r="A26" s="70" t="s">
        <v>67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68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8.75" hidden="1">
      <c r="A28" s="70" t="s">
        <v>69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70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71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72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9.5" hidden="1" thickBot="1">
      <c r="A32" s="70" t="s">
        <v>73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.75" thickBot="1">
      <c r="A33" s="18" t="s">
        <v>15</v>
      </c>
      <c r="B33" s="35">
        <v>3957.8</v>
      </c>
      <c r="C33" s="36">
        <v>26954.8</v>
      </c>
      <c r="D33" s="39">
        <f>238.4+293+43.5+2+39.3+520.9+174.4+181.2+85.5+20.9+137.9+290.2+173.9+53.1+2.1+1.1+14+954.2</f>
        <v>3225.6000000000004</v>
      </c>
      <c r="E33" s="3">
        <f>D33/D155*100</f>
        <v>1.0540987008403444</v>
      </c>
      <c r="F33" s="3">
        <f>D33/B33*100</f>
        <v>81.49982313406439</v>
      </c>
      <c r="G33" s="3">
        <f t="shared" si="0"/>
        <v>11.96669980856842</v>
      </c>
      <c r="H33" s="37">
        <f t="shared" si="2"/>
        <v>732.1999999999998</v>
      </c>
      <c r="I33" s="37">
        <f t="shared" si="1"/>
        <v>23729.199999999997</v>
      </c>
      <c r="J33" s="152"/>
      <c r="K33" s="153"/>
    </row>
    <row r="34" spans="1:11" s="151" customFormat="1" ht="18">
      <c r="A34" s="92" t="s">
        <v>3</v>
      </c>
      <c r="B34" s="114">
        <v>2212.8</v>
      </c>
      <c r="C34" s="115">
        <v>14255.8</v>
      </c>
      <c r="D34" s="94">
        <f>95.5+254.3+520.9+145.6+77.4+290.2+14+629.4</f>
        <v>2027.3000000000002</v>
      </c>
      <c r="E34" s="96">
        <f>D34/D33*100</f>
        <v>62.85032242063492</v>
      </c>
      <c r="F34" s="96">
        <f t="shared" si="3"/>
        <v>91.61695589298627</v>
      </c>
      <c r="G34" s="96">
        <f t="shared" si="0"/>
        <v>14.220878519620086</v>
      </c>
      <c r="H34" s="94">
        <f t="shared" si="2"/>
        <v>185.5</v>
      </c>
      <c r="I34" s="94">
        <f t="shared" si="1"/>
        <v>12228.5</v>
      </c>
      <c r="J34" s="152"/>
      <c r="K34" s="153"/>
    </row>
    <row r="35" spans="1:11" s="151" customFormat="1" ht="18">
      <c r="A35" s="92" t="s">
        <v>1</v>
      </c>
      <c r="B35" s="114">
        <v>12</v>
      </c>
      <c r="C35" s="115">
        <v>87.1</v>
      </c>
      <c r="D35" s="94">
        <f>10+2</f>
        <v>12</v>
      </c>
      <c r="E35" s="96">
        <f>D35/D33*100</f>
        <v>0.3720238095238095</v>
      </c>
      <c r="F35" s="96">
        <f t="shared" si="3"/>
        <v>100</v>
      </c>
      <c r="G35" s="96">
        <f t="shared" si="0"/>
        <v>13.777267508610795</v>
      </c>
      <c r="H35" s="94">
        <f t="shared" si="2"/>
        <v>0</v>
      </c>
      <c r="I35" s="94">
        <f t="shared" si="1"/>
        <v>75.1</v>
      </c>
      <c r="J35" s="152"/>
      <c r="K35" s="153"/>
    </row>
    <row r="36" spans="1:11" s="151" customFormat="1" ht="18">
      <c r="A36" s="92" t="s">
        <v>0</v>
      </c>
      <c r="B36" s="114">
        <v>474.5</v>
      </c>
      <c r="C36" s="115">
        <v>2087.8</v>
      </c>
      <c r="D36" s="94">
        <f>1.1+273.8</f>
        <v>274.90000000000003</v>
      </c>
      <c r="E36" s="96">
        <f>D36/D33*100</f>
        <v>8.522445436507937</v>
      </c>
      <c r="F36" s="96">
        <f t="shared" si="3"/>
        <v>57.934668071654386</v>
      </c>
      <c r="G36" s="96">
        <f t="shared" si="0"/>
        <v>13.166970016285084</v>
      </c>
      <c r="H36" s="94">
        <f t="shared" si="2"/>
        <v>199.59999999999997</v>
      </c>
      <c r="I36" s="94">
        <f t="shared" si="1"/>
        <v>1812.9</v>
      </c>
      <c r="J36" s="152"/>
      <c r="K36" s="153"/>
    </row>
    <row r="37" spans="1:12" s="85" customFormat="1" ht="18.75">
      <c r="A37" s="105" t="s">
        <v>7</v>
      </c>
      <c r="B37" s="125">
        <v>47.7</v>
      </c>
      <c r="C37" s="126">
        <v>1082.6</v>
      </c>
      <c r="D37" s="98">
        <f>38.7+2+2.3+2.6+2.1</f>
        <v>47.7</v>
      </c>
      <c r="E37" s="101">
        <f>D37/D33*100</f>
        <v>1.4787946428571428</v>
      </c>
      <c r="F37" s="101">
        <f t="shared" si="3"/>
        <v>100</v>
      </c>
      <c r="G37" s="101">
        <f t="shared" si="0"/>
        <v>4.4060594864215785</v>
      </c>
      <c r="H37" s="98">
        <f t="shared" si="2"/>
        <v>0</v>
      </c>
      <c r="I37" s="98">
        <f t="shared" si="1"/>
        <v>1034.8999999999999</v>
      </c>
      <c r="J37" s="147"/>
      <c r="K37" s="153"/>
      <c r="L37" s="127"/>
    </row>
    <row r="38" spans="1:11" s="151" customFormat="1" ht="18">
      <c r="A38" s="92" t="s">
        <v>12</v>
      </c>
      <c r="B38" s="114">
        <v>34</v>
      </c>
      <c r="C38" s="115">
        <v>221.9</v>
      </c>
      <c r="D38" s="115">
        <v>5.1</v>
      </c>
      <c r="E38" s="96">
        <f>D38/D33*100</f>
        <v>0.15811011904761904</v>
      </c>
      <c r="F38" s="96">
        <f t="shared" si="3"/>
        <v>15</v>
      </c>
      <c r="G38" s="96">
        <f t="shared" si="0"/>
        <v>2.298332582244254</v>
      </c>
      <c r="H38" s="94">
        <f t="shared" si="2"/>
        <v>28.9</v>
      </c>
      <c r="I38" s="94">
        <f t="shared" si="1"/>
        <v>216.8</v>
      </c>
      <c r="J38" s="152"/>
      <c r="K38" s="153"/>
    </row>
    <row r="39" spans="1:11" s="151" customFormat="1" ht="18.75" thickBot="1">
      <c r="A39" s="92" t="s">
        <v>25</v>
      </c>
      <c r="B39" s="114">
        <f>B33-B34-B36-B37-B35-B38</f>
        <v>1176.8</v>
      </c>
      <c r="C39" s="114">
        <f>C33-C34-C36-C37-C35-C38</f>
        <v>9219.6</v>
      </c>
      <c r="D39" s="114">
        <f>D33-D34-D36-D37-D35-D38</f>
        <v>858.6</v>
      </c>
      <c r="E39" s="96">
        <f>D39/D33*100</f>
        <v>26.61830357142857</v>
      </c>
      <c r="F39" s="96">
        <f t="shared" si="3"/>
        <v>72.96057104010877</v>
      </c>
      <c r="G39" s="96">
        <f t="shared" si="0"/>
        <v>9.312768449824286</v>
      </c>
      <c r="H39" s="94">
        <f>B39-D39</f>
        <v>318.19999999999993</v>
      </c>
      <c r="I39" s="94">
        <f t="shared" si="1"/>
        <v>8361</v>
      </c>
      <c r="J39" s="152"/>
      <c r="K39" s="153"/>
    </row>
    <row r="40" spans="1:11" ht="18.75" hidden="1">
      <c r="A40" s="70" t="s">
        <v>64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8.75" hidden="1">
      <c r="A41" s="70" t="s">
        <v>65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9.5" hidden="1" thickBot="1">
      <c r="A42" s="70" t="s">
        <v>66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9.5" thickBot="1">
      <c r="A43" s="11" t="s">
        <v>14</v>
      </c>
      <c r="B43" s="72">
        <v>98</v>
      </c>
      <c r="C43" s="36">
        <v>955.1</v>
      </c>
      <c r="D43" s="37">
        <f>18+9.7+7.2+11.6+18.4+18.7</f>
        <v>83.60000000000001</v>
      </c>
      <c r="E43" s="3">
        <f>D43/D155*100</f>
        <v>0.027319770396283728</v>
      </c>
      <c r="F43" s="3">
        <f>D43/B43*100</f>
        <v>85.30612244897961</v>
      </c>
      <c r="G43" s="3">
        <f t="shared" si="0"/>
        <v>8.753010156004608</v>
      </c>
      <c r="H43" s="37">
        <f t="shared" si="2"/>
        <v>14.399999999999991</v>
      </c>
      <c r="I43" s="37">
        <f t="shared" si="1"/>
        <v>871.5</v>
      </c>
      <c r="J43" s="152"/>
      <c r="K43" s="153"/>
    </row>
    <row r="44" spans="1:11" ht="18.75" thickBot="1">
      <c r="A44" s="170" t="s">
        <v>12</v>
      </c>
      <c r="B44" s="166">
        <v>0</v>
      </c>
      <c r="C44" s="167">
        <v>51.5</v>
      </c>
      <c r="D44" s="168">
        <v>0</v>
      </c>
      <c r="E44" s="169">
        <f>D44/D39*100</f>
        <v>0</v>
      </c>
      <c r="F44" s="169" t="e">
        <f>D44/B44*100</f>
        <v>#DIV/0!</v>
      </c>
      <c r="G44" s="169">
        <f>D44/C44*100</f>
        <v>0</v>
      </c>
      <c r="H44" s="168">
        <f>B44-D44</f>
        <v>0</v>
      </c>
      <c r="I44" s="168">
        <f>C44-D44</f>
        <v>51.5</v>
      </c>
      <c r="J44" s="152"/>
      <c r="K44" s="153"/>
    </row>
    <row r="45" spans="1:11" ht="12" customHeight="1" thickBot="1">
      <c r="A45" s="21"/>
      <c r="B45" s="43"/>
      <c r="C45" s="44"/>
      <c r="D45" s="45"/>
      <c r="E45" s="7"/>
      <c r="F45" s="7"/>
      <c r="G45" s="7"/>
      <c r="H45" s="45"/>
      <c r="I45" s="45"/>
      <c r="J45" s="152"/>
      <c r="K45" s="153"/>
    </row>
    <row r="46" spans="1:11" ht="18.75" thickBot="1">
      <c r="A46" s="18" t="s">
        <v>42</v>
      </c>
      <c r="B46" s="35">
        <v>2569.8</v>
      </c>
      <c r="C46" s="36">
        <v>16742.1</v>
      </c>
      <c r="D46" s="37">
        <f>346.4+682.6-0.1+14.1+556.7+0.1+721.1+127.1</f>
        <v>2448</v>
      </c>
      <c r="E46" s="3">
        <f>D46/D155*100</f>
        <v>0.7999856211734756</v>
      </c>
      <c r="F46" s="3">
        <f>D46/B46*100</f>
        <v>95.26033154331076</v>
      </c>
      <c r="G46" s="3">
        <f aca="true" t="shared" si="5" ref="G46:G77">D46/C46*100</f>
        <v>14.621821635278732</v>
      </c>
      <c r="H46" s="37">
        <f>B46-D46</f>
        <v>121.80000000000018</v>
      </c>
      <c r="I46" s="37">
        <f aca="true" t="shared" si="6" ref="I46:I78">C46-D46</f>
        <v>14294.099999999999</v>
      </c>
      <c r="J46" s="152"/>
      <c r="K46" s="153"/>
    </row>
    <row r="47" spans="1:11" s="151" customFormat="1" ht="18">
      <c r="A47" s="92" t="s">
        <v>3</v>
      </c>
      <c r="B47" s="114">
        <v>2272.8</v>
      </c>
      <c r="C47" s="115">
        <v>15270.9</v>
      </c>
      <c r="D47" s="94">
        <f>332.5+633.1+14.1+510.1+691.2+14.1</f>
        <v>2195.1</v>
      </c>
      <c r="E47" s="96">
        <f>D47/D46*100</f>
        <v>89.66911764705881</v>
      </c>
      <c r="F47" s="96">
        <f aca="true" t="shared" si="7" ref="F47:F75">D47/B47*100</f>
        <v>96.58130939809925</v>
      </c>
      <c r="G47" s="96">
        <f t="shared" si="5"/>
        <v>14.374398365518731</v>
      </c>
      <c r="H47" s="94">
        <f aca="true" t="shared" si="8" ref="H47:H75">B47-D47</f>
        <v>77.70000000000027</v>
      </c>
      <c r="I47" s="94">
        <f t="shared" si="6"/>
        <v>13075.8</v>
      </c>
      <c r="J47" s="152"/>
      <c r="K47" s="153"/>
    </row>
    <row r="48" spans="1:11" s="151" customFormat="1" ht="18">
      <c r="A48" s="92" t="s">
        <v>2</v>
      </c>
      <c r="B48" s="114">
        <v>0</v>
      </c>
      <c r="C48" s="115">
        <v>1.6</v>
      </c>
      <c r="D48" s="94"/>
      <c r="E48" s="96">
        <f>D48/D46*100</f>
        <v>0</v>
      </c>
      <c r="F48" s="96" t="e">
        <f t="shared" si="7"/>
        <v>#DIV/0!</v>
      </c>
      <c r="G48" s="96">
        <f t="shared" si="5"/>
        <v>0</v>
      </c>
      <c r="H48" s="94">
        <f t="shared" si="8"/>
        <v>0</v>
      </c>
      <c r="I48" s="94">
        <f t="shared" si="6"/>
        <v>1.6</v>
      </c>
      <c r="J48" s="152"/>
      <c r="K48" s="153"/>
    </row>
    <row r="49" spans="1:11" s="151" customFormat="1" ht="18">
      <c r="A49" s="92" t="s">
        <v>1</v>
      </c>
      <c r="B49" s="114">
        <v>10.8</v>
      </c>
      <c r="C49" s="115">
        <v>106.3</v>
      </c>
      <c r="D49" s="94">
        <v>8.3</v>
      </c>
      <c r="E49" s="96">
        <f>D49/D46*100</f>
        <v>0.33905228758169936</v>
      </c>
      <c r="F49" s="96">
        <f t="shared" si="7"/>
        <v>76.85185185185185</v>
      </c>
      <c r="G49" s="96">
        <f t="shared" si="5"/>
        <v>7.808090310442145</v>
      </c>
      <c r="H49" s="94">
        <f t="shared" si="8"/>
        <v>2.5</v>
      </c>
      <c r="I49" s="94">
        <f t="shared" si="6"/>
        <v>98</v>
      </c>
      <c r="J49" s="152"/>
      <c r="K49" s="153"/>
    </row>
    <row r="50" spans="1:11" s="151" customFormat="1" ht="18">
      <c r="A50" s="92" t="s">
        <v>0</v>
      </c>
      <c r="B50" s="114">
        <v>248.4</v>
      </c>
      <c r="C50" s="115">
        <v>998.4</v>
      </c>
      <c r="D50" s="94">
        <f>13.9+43.7+37.9+3.3+112.6</f>
        <v>211.39999999999998</v>
      </c>
      <c r="E50" s="96">
        <f>D50/D46*100</f>
        <v>8.635620915032678</v>
      </c>
      <c r="F50" s="96">
        <f t="shared" si="7"/>
        <v>85.10466988727858</v>
      </c>
      <c r="G50" s="96">
        <f t="shared" si="5"/>
        <v>21.1738782051282</v>
      </c>
      <c r="H50" s="94">
        <f t="shared" si="8"/>
        <v>37.00000000000003</v>
      </c>
      <c r="I50" s="94">
        <f t="shared" si="6"/>
        <v>787</v>
      </c>
      <c r="J50" s="152"/>
      <c r="K50" s="153"/>
    </row>
    <row r="51" spans="1:11" s="151" customFormat="1" ht="18.75" thickBot="1">
      <c r="A51" s="92" t="s">
        <v>25</v>
      </c>
      <c r="B51" s="115">
        <f>B46-B47-B50-B49-B48</f>
        <v>37.8</v>
      </c>
      <c r="C51" s="115">
        <f>C46-C47-C50-C49-C48</f>
        <v>364.8999999999989</v>
      </c>
      <c r="D51" s="115">
        <f>D46-D47-D50-D49-D48</f>
        <v>33.20000000000012</v>
      </c>
      <c r="E51" s="96">
        <f>D51/D46*100</f>
        <v>1.3562091503268021</v>
      </c>
      <c r="F51" s="96">
        <f t="shared" si="7"/>
        <v>87.83068783068815</v>
      </c>
      <c r="G51" s="96">
        <f t="shared" si="5"/>
        <v>9.098383118662706</v>
      </c>
      <c r="H51" s="94">
        <f t="shared" si="8"/>
        <v>4.599999999999881</v>
      </c>
      <c r="I51" s="94">
        <f t="shared" si="6"/>
        <v>331.6999999999988</v>
      </c>
      <c r="J51" s="152"/>
      <c r="K51" s="153"/>
    </row>
    <row r="52" spans="1:11" ht="18.75" thickBot="1">
      <c r="A52" s="18" t="s">
        <v>4</v>
      </c>
      <c r="B52" s="35">
        <v>7397.8</v>
      </c>
      <c r="C52" s="36">
        <v>54626.8</v>
      </c>
      <c r="D52" s="37">
        <f>721.7+145.3+5+112.8+1132.7+7.6+9.6+17.1+0.3+1056.5+185.3+56.2+95+1327.2+403.4+2.3</f>
        <v>5278</v>
      </c>
      <c r="E52" s="3">
        <f>D52/D155*100</f>
        <v>1.7248055998993483</v>
      </c>
      <c r="F52" s="3">
        <f>D52/B52*100</f>
        <v>71.34553515910135</v>
      </c>
      <c r="G52" s="3">
        <f t="shared" si="5"/>
        <v>9.66192418373399</v>
      </c>
      <c r="H52" s="37">
        <f>B52-D52</f>
        <v>2119.8</v>
      </c>
      <c r="I52" s="37">
        <f t="shared" si="6"/>
        <v>49348.8</v>
      </c>
      <c r="J52" s="152"/>
      <c r="K52" s="153"/>
    </row>
    <row r="53" spans="1:11" s="151" customFormat="1" ht="18">
      <c r="A53" s="92" t="s">
        <v>3</v>
      </c>
      <c r="B53" s="114">
        <v>4159.1</v>
      </c>
      <c r="C53" s="115">
        <v>25959.9</v>
      </c>
      <c r="D53" s="94">
        <f>721.7+980.4+865.2+984.4+270.7</f>
        <v>3822.4</v>
      </c>
      <c r="E53" s="96">
        <f>D53/D52*100</f>
        <v>72.42137173171656</v>
      </c>
      <c r="F53" s="96">
        <f t="shared" si="7"/>
        <v>91.90449856940202</v>
      </c>
      <c r="G53" s="96">
        <f t="shared" si="5"/>
        <v>14.724247782156324</v>
      </c>
      <c r="H53" s="94">
        <f t="shared" si="8"/>
        <v>336.7000000000003</v>
      </c>
      <c r="I53" s="94">
        <f t="shared" si="6"/>
        <v>22137.5</v>
      </c>
      <c r="J53" s="152"/>
      <c r="K53" s="153"/>
    </row>
    <row r="54" spans="1:11" s="151" customFormat="1" ht="18">
      <c r="A54" s="92" t="s">
        <v>2</v>
      </c>
      <c r="B54" s="114">
        <v>0</v>
      </c>
      <c r="C54" s="115">
        <v>16.4</v>
      </c>
      <c r="D54" s="94"/>
      <c r="E54" s="96">
        <f>D54/D52*100</f>
        <v>0</v>
      </c>
      <c r="F54" s="96" t="e">
        <f>D54/B54*100</f>
        <v>#DIV/0!</v>
      </c>
      <c r="G54" s="96">
        <f t="shared" si="5"/>
        <v>0</v>
      </c>
      <c r="H54" s="94">
        <f t="shared" si="8"/>
        <v>0</v>
      </c>
      <c r="I54" s="94">
        <f t="shared" si="6"/>
        <v>16.4</v>
      </c>
      <c r="J54" s="152"/>
      <c r="K54" s="153"/>
    </row>
    <row r="55" spans="1:11" s="151" customFormat="1" ht="18">
      <c r="A55" s="92" t="s">
        <v>1</v>
      </c>
      <c r="B55" s="114">
        <v>412.8</v>
      </c>
      <c r="C55" s="115">
        <v>4332.1</v>
      </c>
      <c r="D55" s="94">
        <f>3.2+7.6+9.6+11.4+10.1+24.7+6.6+7.8+2.3</f>
        <v>83.29999999999998</v>
      </c>
      <c r="E55" s="96">
        <f>D55/D52*100</f>
        <v>1.5782493368700263</v>
      </c>
      <c r="F55" s="96">
        <f t="shared" si="7"/>
        <v>20.179263565891468</v>
      </c>
      <c r="G55" s="96">
        <f t="shared" si="5"/>
        <v>1.922854966413517</v>
      </c>
      <c r="H55" s="94">
        <f t="shared" si="8"/>
        <v>329.5</v>
      </c>
      <c r="I55" s="94">
        <f t="shared" si="6"/>
        <v>4248.8</v>
      </c>
      <c r="J55" s="152"/>
      <c r="K55" s="153"/>
    </row>
    <row r="56" spans="1:11" s="151" customFormat="1" ht="18">
      <c r="A56" s="92" t="s">
        <v>0</v>
      </c>
      <c r="B56" s="114">
        <v>320.7</v>
      </c>
      <c r="C56" s="115">
        <v>1406.6</v>
      </c>
      <c r="D56" s="94">
        <f>0.3+1.2+21.4+80.5</f>
        <v>103.4</v>
      </c>
      <c r="E56" s="96">
        <f>D56/D52*100</f>
        <v>1.9590754073512695</v>
      </c>
      <c r="F56" s="96">
        <f t="shared" si="7"/>
        <v>32.24197068911756</v>
      </c>
      <c r="G56" s="96">
        <f t="shared" si="5"/>
        <v>7.3510592919095705</v>
      </c>
      <c r="H56" s="94">
        <f t="shared" si="8"/>
        <v>217.29999999999998</v>
      </c>
      <c r="I56" s="94">
        <f t="shared" si="6"/>
        <v>1303.1999999999998</v>
      </c>
      <c r="J56" s="152"/>
      <c r="K56" s="153"/>
    </row>
    <row r="57" spans="1:11" s="151" customFormat="1" ht="18">
      <c r="A57" s="92" t="s">
        <v>12</v>
      </c>
      <c r="B57" s="114">
        <v>580</v>
      </c>
      <c r="C57" s="115">
        <v>4640</v>
      </c>
      <c r="D57" s="115">
        <v>227</v>
      </c>
      <c r="E57" s="96">
        <f>D57/D52*100</f>
        <v>4.300871542250852</v>
      </c>
      <c r="F57" s="96">
        <f>D57/B57*100</f>
        <v>39.13793103448276</v>
      </c>
      <c r="G57" s="96">
        <f>D57/C57*100</f>
        <v>4.892241379310345</v>
      </c>
      <c r="H57" s="94">
        <f t="shared" si="8"/>
        <v>353</v>
      </c>
      <c r="I57" s="94">
        <f t="shared" si="6"/>
        <v>4413</v>
      </c>
      <c r="J57" s="152"/>
      <c r="K57" s="153"/>
    </row>
    <row r="58" spans="1:11" s="151" customFormat="1" ht="18.75" thickBot="1">
      <c r="A58" s="92" t="s">
        <v>25</v>
      </c>
      <c r="B58" s="115">
        <f>B52-B53-B56-B55-B54-B57</f>
        <v>1925.1999999999998</v>
      </c>
      <c r="C58" s="115">
        <f>C52-C53-C56-C55-C54-C57</f>
        <v>18271.800000000003</v>
      </c>
      <c r="D58" s="115">
        <f>D52-D53-D56-D55-D54-D57</f>
        <v>1041.8999999999999</v>
      </c>
      <c r="E58" s="96">
        <f>D58/D52*100</f>
        <v>19.74043198181129</v>
      </c>
      <c r="F58" s="96">
        <f t="shared" si="7"/>
        <v>54.11905256596717</v>
      </c>
      <c r="G58" s="96">
        <f t="shared" si="5"/>
        <v>5.702229665386003</v>
      </c>
      <c r="H58" s="94">
        <f>B58-D58</f>
        <v>883.3</v>
      </c>
      <c r="I58" s="94">
        <f>C58-D58</f>
        <v>17229.9</v>
      </c>
      <c r="J58" s="152"/>
      <c r="K58" s="153"/>
    </row>
    <row r="59" spans="1:11" s="29" customFormat="1" ht="19.5" hidden="1" thickBot="1">
      <c r="A59" s="70" t="s">
        <v>63</v>
      </c>
      <c r="B59" s="68"/>
      <c r="C59" s="68"/>
      <c r="D59" s="68"/>
      <c r="E59" s="1"/>
      <c r="F59" s="69" t="e">
        <f t="shared" si="7"/>
        <v>#DIV/0!</v>
      </c>
      <c r="G59" s="69" t="e">
        <f t="shared" si="5"/>
        <v>#DIV/0!</v>
      </c>
      <c r="H59" s="73">
        <f t="shared" si="8"/>
        <v>0</v>
      </c>
      <c r="I59" s="73">
        <f>C59-D59</f>
        <v>0</v>
      </c>
      <c r="J59" s="147"/>
      <c r="K59" s="153">
        <f>C59-B59</f>
        <v>0</v>
      </c>
    </row>
    <row r="60" spans="1:11" ht="18.75" thickBot="1">
      <c r="A60" s="18" t="s">
        <v>6</v>
      </c>
      <c r="B60" s="35">
        <v>797</v>
      </c>
      <c r="C60" s="36">
        <v>10268.5</v>
      </c>
      <c r="D60" s="37">
        <f>80.6+106+88.7+4.1+0.3+50.7+49.2+44+180.6</f>
        <v>604.2</v>
      </c>
      <c r="E60" s="3">
        <f>D60/D155*100</f>
        <v>0.19744743150041422</v>
      </c>
      <c r="F60" s="3">
        <f>D60/B60*100</f>
        <v>75.80928481806775</v>
      </c>
      <c r="G60" s="3">
        <f t="shared" si="5"/>
        <v>5.88401421824025</v>
      </c>
      <c r="H60" s="37">
        <f>B60-D60</f>
        <v>192.79999999999995</v>
      </c>
      <c r="I60" s="37">
        <f t="shared" si="6"/>
        <v>9664.3</v>
      </c>
      <c r="J60" s="152"/>
      <c r="K60" s="153"/>
    </row>
    <row r="61" spans="1:11" s="151" customFormat="1" ht="18">
      <c r="A61" s="92" t="s">
        <v>3</v>
      </c>
      <c r="B61" s="114">
        <v>572.7</v>
      </c>
      <c r="C61" s="115">
        <v>3626.9</v>
      </c>
      <c r="D61" s="94">
        <f>80.6+106+88.7+4.1+50.7+38.1+180.6</f>
        <v>548.8000000000001</v>
      </c>
      <c r="E61" s="96">
        <f>D61/D60*100</f>
        <v>90.83085071168487</v>
      </c>
      <c r="F61" s="96">
        <f t="shared" si="7"/>
        <v>95.82678540247949</v>
      </c>
      <c r="G61" s="96">
        <f t="shared" si="5"/>
        <v>15.131379414927352</v>
      </c>
      <c r="H61" s="94">
        <f t="shared" si="8"/>
        <v>23.899999999999977</v>
      </c>
      <c r="I61" s="94">
        <f t="shared" si="6"/>
        <v>3078.1</v>
      </c>
      <c r="J61" s="152"/>
      <c r="K61" s="153"/>
    </row>
    <row r="62" spans="1:11" s="151" customFormat="1" ht="18">
      <c r="A62" s="92" t="s">
        <v>1</v>
      </c>
      <c r="B62" s="114">
        <v>0</v>
      </c>
      <c r="C62" s="115">
        <v>420</v>
      </c>
      <c r="D62" s="94"/>
      <c r="E62" s="96">
        <f>D62/D60*100</f>
        <v>0</v>
      </c>
      <c r="F62" s="96" t="e">
        <f>D62/B62*100</f>
        <v>#DIV/0!</v>
      </c>
      <c r="G62" s="96">
        <f t="shared" si="5"/>
        <v>0</v>
      </c>
      <c r="H62" s="94">
        <f t="shared" si="8"/>
        <v>0</v>
      </c>
      <c r="I62" s="94">
        <f t="shared" si="6"/>
        <v>420</v>
      </c>
      <c r="J62" s="152"/>
      <c r="K62" s="153"/>
    </row>
    <row r="63" spans="1:11" s="151" customFormat="1" ht="18">
      <c r="A63" s="92" t="s">
        <v>0</v>
      </c>
      <c r="B63" s="114">
        <v>170.7</v>
      </c>
      <c r="C63" s="115">
        <v>475.3</v>
      </c>
      <c r="D63" s="94">
        <f>9.6+44</f>
        <v>53.6</v>
      </c>
      <c r="E63" s="96">
        <f>D63/D60*100</f>
        <v>8.871234690499834</v>
      </c>
      <c r="F63" s="96">
        <f t="shared" si="7"/>
        <v>31.400117164616287</v>
      </c>
      <c r="G63" s="96">
        <f t="shared" si="5"/>
        <v>11.277088154849569</v>
      </c>
      <c r="H63" s="94">
        <f t="shared" si="8"/>
        <v>117.1</v>
      </c>
      <c r="I63" s="94">
        <f t="shared" si="6"/>
        <v>421.7</v>
      </c>
      <c r="J63" s="152"/>
      <c r="K63" s="153"/>
    </row>
    <row r="64" spans="1:11" s="151" customFormat="1" ht="18">
      <c r="A64" s="92" t="s">
        <v>12</v>
      </c>
      <c r="B64" s="114">
        <v>0</v>
      </c>
      <c r="C64" s="115">
        <v>4848.7</v>
      </c>
      <c r="D64" s="94"/>
      <c r="E64" s="96">
        <f>D64/D60*100</f>
        <v>0</v>
      </c>
      <c r="F64" s="96" t="e">
        <f t="shared" si="7"/>
        <v>#DIV/0!</v>
      </c>
      <c r="G64" s="96">
        <f t="shared" si="5"/>
        <v>0</v>
      </c>
      <c r="H64" s="94">
        <f t="shared" si="8"/>
        <v>0</v>
      </c>
      <c r="I64" s="94">
        <f t="shared" si="6"/>
        <v>4848.7</v>
      </c>
      <c r="J64" s="152"/>
      <c r="K64" s="153"/>
    </row>
    <row r="65" spans="1:11" s="151" customFormat="1" ht="18.75" thickBot="1">
      <c r="A65" s="92" t="s">
        <v>25</v>
      </c>
      <c r="B65" s="115">
        <f>B60-B61-B63-B64-B62</f>
        <v>53.599999999999966</v>
      </c>
      <c r="C65" s="115">
        <f>C60-C61-C63-C64-C62</f>
        <v>897.6000000000004</v>
      </c>
      <c r="D65" s="115">
        <f>D60-D61-D63-D64-D62</f>
        <v>1.7999999999999758</v>
      </c>
      <c r="E65" s="96">
        <f>D65/D60*100</f>
        <v>0.29791459781528895</v>
      </c>
      <c r="F65" s="96">
        <f t="shared" si="7"/>
        <v>3.3582089552238377</v>
      </c>
      <c r="G65" s="96">
        <f t="shared" si="5"/>
        <v>0.20053475935828602</v>
      </c>
      <c r="H65" s="94">
        <f t="shared" si="8"/>
        <v>51.79999999999999</v>
      </c>
      <c r="I65" s="94">
        <f t="shared" si="6"/>
        <v>895.8000000000004</v>
      </c>
      <c r="J65" s="152"/>
      <c r="K65" s="153"/>
    </row>
    <row r="66" spans="1:11" s="29" customFormat="1" ht="18.75" hidden="1">
      <c r="A66" s="70" t="s">
        <v>74</v>
      </c>
      <c r="B66" s="68"/>
      <c r="C66" s="68"/>
      <c r="D66" s="68"/>
      <c r="E66" s="69"/>
      <c r="F66" s="69" t="e">
        <f>D66/B66*100</f>
        <v>#DIV/0!</v>
      </c>
      <c r="G66" s="69" t="e">
        <f>D66/C66*100</f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8.75" hidden="1">
      <c r="A67" s="70" t="s">
        <v>60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8.75" hidden="1">
      <c r="A68" s="70" t="s">
        <v>61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s="29" customFormat="1" ht="19.5" hidden="1" thickBot="1">
      <c r="A69" s="70" t="s">
        <v>62</v>
      </c>
      <c r="B69" s="68"/>
      <c r="C69" s="68"/>
      <c r="D69" s="68"/>
      <c r="E69" s="69"/>
      <c r="F69" s="69" t="e">
        <f t="shared" si="7"/>
        <v>#DIV/0!</v>
      </c>
      <c r="G69" s="69" t="e">
        <f t="shared" si="5"/>
        <v>#DIV/0!</v>
      </c>
      <c r="H69" s="73">
        <f t="shared" si="8"/>
        <v>0</v>
      </c>
      <c r="I69" s="73">
        <f t="shared" si="6"/>
        <v>0</v>
      </c>
      <c r="J69" s="147"/>
      <c r="K69" s="153">
        <f>C69-B69</f>
        <v>0</v>
      </c>
    </row>
    <row r="70" spans="1:11" ht="18.75" thickBot="1">
      <c r="A70" s="18" t="s">
        <v>18</v>
      </c>
      <c r="B70" s="36">
        <f>B71+B72</f>
        <v>123.30000000000001</v>
      </c>
      <c r="C70" s="36">
        <f>C71+C72</f>
        <v>613.8</v>
      </c>
      <c r="D70" s="37">
        <f>D71+D72</f>
        <v>0</v>
      </c>
      <c r="E70" s="27">
        <f>D70/D155*100</f>
        <v>0</v>
      </c>
      <c r="F70" s="3">
        <f>D70/B70*100</f>
        <v>0</v>
      </c>
      <c r="G70" s="3">
        <f t="shared" si="5"/>
        <v>0</v>
      </c>
      <c r="H70" s="37">
        <f>B70-D70</f>
        <v>123.30000000000001</v>
      </c>
      <c r="I70" s="37">
        <f t="shared" si="6"/>
        <v>613.8</v>
      </c>
      <c r="J70" s="152"/>
      <c r="K70" s="153"/>
    </row>
    <row r="71" spans="1:11" s="151" customFormat="1" ht="18">
      <c r="A71" s="92" t="s">
        <v>109</v>
      </c>
      <c r="B71" s="114">
        <f>29.2+28.2</f>
        <v>57.4</v>
      </c>
      <c r="C71" s="115">
        <v>217.3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57.4</v>
      </c>
      <c r="I71" s="94">
        <f t="shared" si="6"/>
        <v>217.3</v>
      </c>
      <c r="J71" s="152"/>
      <c r="K71" s="153"/>
    </row>
    <row r="72" spans="1:11" s="151" customFormat="1" ht="18.75" thickBot="1">
      <c r="A72" s="92" t="s">
        <v>110</v>
      </c>
      <c r="B72" s="114">
        <v>65.9</v>
      </c>
      <c r="C72" s="115">
        <v>396.5</v>
      </c>
      <c r="D72" s="94"/>
      <c r="E72" s="96" t="e">
        <f>D72/D71*100</f>
        <v>#DIV/0!</v>
      </c>
      <c r="F72" s="96">
        <f t="shared" si="7"/>
        <v>0</v>
      </c>
      <c r="G72" s="96">
        <f t="shared" si="5"/>
        <v>0</v>
      </c>
      <c r="H72" s="94">
        <f t="shared" si="8"/>
        <v>65.9</v>
      </c>
      <c r="I72" s="94">
        <f t="shared" si="6"/>
        <v>396.5</v>
      </c>
      <c r="J72" s="152"/>
      <c r="K72" s="153"/>
    </row>
    <row r="73" spans="1:11" ht="38.25" hidden="1" thickBot="1">
      <c r="A73" s="11" t="s">
        <v>39</v>
      </c>
      <c r="B73" s="42"/>
      <c r="C73" s="36">
        <f>C74+C75+C76+C77</f>
        <v>0</v>
      </c>
      <c r="D73" s="36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5"/>
        <v>#DIV/0!</v>
      </c>
      <c r="H73" s="37">
        <f>B73-D73</f>
        <v>0</v>
      </c>
      <c r="I73" s="37">
        <f t="shared" si="6"/>
        <v>0</v>
      </c>
      <c r="J73" s="152"/>
      <c r="K73" s="153"/>
    </row>
    <row r="74" spans="1:11" ht="18.75" hidden="1">
      <c r="A74" s="15" t="s">
        <v>43</v>
      </c>
      <c r="B74" s="40"/>
      <c r="C74" s="46"/>
      <c r="D74" s="38"/>
      <c r="E74" s="24" t="e">
        <f>D74/D73*100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8.75" hidden="1">
      <c r="A75" s="15" t="s">
        <v>44</v>
      </c>
      <c r="B75" s="40"/>
      <c r="C75" s="46"/>
      <c r="D75" s="38"/>
      <c r="E75" s="24" t="e">
        <f>D75/D73*100</f>
        <v>#DIV/0!</v>
      </c>
      <c r="F75" s="1" t="e">
        <f t="shared" si="7"/>
        <v>#DIV/0!</v>
      </c>
      <c r="G75" s="1" t="e">
        <f t="shared" si="5"/>
        <v>#DIV/0!</v>
      </c>
      <c r="H75" s="34">
        <f t="shared" si="8"/>
        <v>0</v>
      </c>
      <c r="I75" s="34">
        <f t="shared" si="6"/>
        <v>0</v>
      </c>
      <c r="J75" s="152"/>
      <c r="K75" s="153"/>
    </row>
    <row r="76" spans="1:11" ht="18.75" hidden="1">
      <c r="A76" s="20" t="s">
        <v>32</v>
      </c>
      <c r="B76" s="47"/>
      <c r="C76" s="48"/>
      <c r="D76" s="49"/>
      <c r="E76" s="24" t="e">
        <f>D76/D73*100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ht="19.5" hidden="1" thickBot="1">
      <c r="A77" s="20" t="s">
        <v>40</v>
      </c>
      <c r="B77" s="47"/>
      <c r="C77" s="48"/>
      <c r="D77" s="49"/>
      <c r="E77" s="24" t="e">
        <f>D77/D73*100</f>
        <v>#DIV/0!</v>
      </c>
      <c r="F77" s="24"/>
      <c r="G77" s="1" t="e">
        <f t="shared" si="5"/>
        <v>#DIV/0!</v>
      </c>
      <c r="H77" s="34"/>
      <c r="I77" s="34">
        <f t="shared" si="6"/>
        <v>0</v>
      </c>
      <c r="J77" s="152"/>
      <c r="K77" s="153"/>
    </row>
    <row r="78" spans="1:11" s="29" customFormat="1" ht="19.5" thickBot="1">
      <c r="A78" s="21" t="s">
        <v>11</v>
      </c>
      <c r="B78" s="43">
        <v>1666.7</v>
      </c>
      <c r="C78" s="50">
        <v>10000</v>
      </c>
      <c r="D78" s="51"/>
      <c r="E78" s="31"/>
      <c r="F78" s="31"/>
      <c r="G78" s="31"/>
      <c r="H78" s="51">
        <f>B78-D78</f>
        <v>1666.7</v>
      </c>
      <c r="I78" s="51">
        <f t="shared" si="6"/>
        <v>10000</v>
      </c>
      <c r="J78" s="147"/>
      <c r="K78" s="153"/>
    </row>
    <row r="79" spans="1:11" ht="8.25" customHeight="1" thickBot="1">
      <c r="A79" s="15"/>
      <c r="B79" s="40"/>
      <c r="C79" s="48"/>
      <c r="D79" s="49"/>
      <c r="E79" s="6"/>
      <c r="F79" s="6"/>
      <c r="G79" s="6"/>
      <c r="H79" s="49"/>
      <c r="I79" s="154"/>
      <c r="J79" s="152"/>
      <c r="K79" s="153"/>
    </row>
    <row r="80" spans="1:11" ht="18.75" customHeight="1" hidden="1" thickBot="1">
      <c r="A80" s="11" t="s">
        <v>54</v>
      </c>
      <c r="B80" s="42"/>
      <c r="C80" s="36"/>
      <c r="D80" s="36"/>
      <c r="E80" s="3">
        <f>D80/D155*100</f>
        <v>0</v>
      </c>
      <c r="F80" s="3" t="e">
        <f>D80/B80*100</f>
        <v>#DIV/0!</v>
      </c>
      <c r="G80" s="3" t="e">
        <f aca="true" t="shared" si="9" ref="G80:G94">D80/C80*100</f>
        <v>#DIV/0!</v>
      </c>
      <c r="H80" s="37">
        <f>B80-D80</f>
        <v>0</v>
      </c>
      <c r="I80" s="37">
        <f aca="true" t="shared" si="10" ref="I80:I94">C80-D80</f>
        <v>0</v>
      </c>
      <c r="J80" s="152"/>
      <c r="K80" s="153"/>
    </row>
    <row r="81" spans="1:11" s="8" customFormat="1" ht="18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30.75" hidden="1">
      <c r="A82" s="9" t="s">
        <v>51</v>
      </c>
      <c r="B82" s="52"/>
      <c r="C82" s="33"/>
      <c r="D82" s="34"/>
      <c r="E82" s="67"/>
      <c r="F82" s="1" t="e">
        <f>D82/B82*100</f>
        <v>#DIV/0!</v>
      </c>
      <c r="G82" s="1" t="e">
        <f t="shared" si="9"/>
        <v>#DIV/0!</v>
      </c>
      <c r="H82" s="34">
        <f>B82-D82</f>
        <v>0</v>
      </c>
      <c r="I82" s="34">
        <f t="shared" si="10"/>
        <v>0</v>
      </c>
      <c r="J82" s="148"/>
      <c r="K82" s="153"/>
    </row>
    <row r="83" spans="1:11" s="8" customFormat="1" ht="16.5" customHeight="1" hidden="1">
      <c r="A83" s="9" t="s">
        <v>31</v>
      </c>
      <c r="B83" s="52"/>
      <c r="C83" s="33"/>
      <c r="D83" s="34"/>
      <c r="E83" s="1" t="e">
        <f>D83/D80*100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s="8" customFormat="1" ht="33" customHeight="1" hidden="1" thickBot="1">
      <c r="A84" s="9" t="s">
        <v>37</v>
      </c>
      <c r="B84" s="52"/>
      <c r="C84" s="33"/>
      <c r="D84" s="33"/>
      <c r="E84" s="1" t="e">
        <f>D84/D80*100</f>
        <v>#DIV/0!</v>
      </c>
      <c r="F84" s="1"/>
      <c r="G84" s="1" t="e">
        <f t="shared" si="9"/>
        <v>#DIV/0!</v>
      </c>
      <c r="H84" s="34"/>
      <c r="I84" s="34">
        <f t="shared" si="10"/>
        <v>0</v>
      </c>
      <c r="J84" s="148"/>
      <c r="K84" s="153"/>
    </row>
    <row r="85" spans="1:11" ht="35.25" customHeight="1" hidden="1" thickBot="1">
      <c r="A85" s="11" t="s">
        <v>33</v>
      </c>
      <c r="B85" s="42"/>
      <c r="C85" s="36"/>
      <c r="D85" s="36"/>
      <c r="E85" s="3">
        <f>D85/D155*100</f>
        <v>0</v>
      </c>
      <c r="F85" s="3"/>
      <c r="G85" s="3" t="e">
        <f t="shared" si="9"/>
        <v>#DIV/0!</v>
      </c>
      <c r="H85" s="37"/>
      <c r="I85" s="37">
        <f t="shared" si="10"/>
        <v>0</v>
      </c>
      <c r="J85" s="152"/>
      <c r="K85" s="153"/>
    </row>
    <row r="86" spans="1:11" ht="16.5" customHeight="1" hidden="1">
      <c r="A86" s="19" t="s">
        <v>21</v>
      </c>
      <c r="B86" s="32"/>
      <c r="C86" s="48"/>
      <c r="D86" s="48"/>
      <c r="E86" s="6" t="e">
        <f>D86/D85*100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16.5" customHeight="1" hidden="1" thickBot="1">
      <c r="A87" s="19" t="s">
        <v>22</v>
      </c>
      <c r="B87" s="32"/>
      <c r="C87" s="48"/>
      <c r="D87" s="48"/>
      <c r="E87" s="6" t="e">
        <f>D87/D85*100</f>
        <v>#DIV/0!</v>
      </c>
      <c r="F87" s="6"/>
      <c r="G87" s="6" t="e">
        <f t="shared" si="9"/>
        <v>#DIV/0!</v>
      </c>
      <c r="H87" s="49"/>
      <c r="I87" s="34">
        <f t="shared" si="10"/>
        <v>0</v>
      </c>
      <c r="J87" s="152"/>
      <c r="K87" s="153"/>
    </row>
    <row r="88" spans="1:11" ht="34.5" customHeight="1" hidden="1" thickBot="1">
      <c r="A88" s="11" t="s">
        <v>34</v>
      </c>
      <c r="B88" s="42"/>
      <c r="C88" s="36"/>
      <c r="D88" s="36"/>
      <c r="E88" s="3">
        <f>D88/D155*100</f>
        <v>0</v>
      </c>
      <c r="F88" s="3"/>
      <c r="G88" s="3" t="e">
        <f t="shared" si="9"/>
        <v>#DIV/0!</v>
      </c>
      <c r="H88" s="37"/>
      <c r="I88" s="37">
        <f t="shared" si="10"/>
        <v>0</v>
      </c>
      <c r="J88" s="152"/>
      <c r="K88" s="153"/>
    </row>
    <row r="89" spans="1:11" ht="17.25" customHeight="1" hidden="1">
      <c r="A89" s="19" t="s">
        <v>21</v>
      </c>
      <c r="B89" s="32"/>
      <c r="C89" s="33"/>
      <c r="D89" s="34"/>
      <c r="E89" s="1" t="e">
        <f>D89/D88*100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7.25" customHeight="1" hidden="1" thickBot="1">
      <c r="A90" s="19" t="s">
        <v>22</v>
      </c>
      <c r="B90" s="32"/>
      <c r="C90" s="33"/>
      <c r="D90" s="34"/>
      <c r="E90" s="1" t="e">
        <f>D90/D88*100</f>
        <v>#DIV/0!</v>
      </c>
      <c r="F90" s="1"/>
      <c r="G90" s="1" t="e">
        <f t="shared" si="9"/>
        <v>#DIV/0!</v>
      </c>
      <c r="H90" s="34"/>
      <c r="I90" s="34">
        <f t="shared" si="10"/>
        <v>0</v>
      </c>
      <c r="J90" s="152"/>
      <c r="K90" s="153"/>
    </row>
    <row r="91" spans="1:11" ht="19.5" thickBot="1">
      <c r="A91" s="11" t="s">
        <v>8</v>
      </c>
      <c r="B91" s="42">
        <v>36220.6</v>
      </c>
      <c r="C91" s="36">
        <v>208452.8</v>
      </c>
      <c r="D91" s="37">
        <f>244+43.9+2457.4+2707.4+10.4+33.4+0.3+26.7+297+18.1+13+3+6.2+490.1+6379.1-0.1+2560.6+73.2+32.7+207.4+162.1+3.7+587.9+1178+3844.7+1728.3+5.1+21.1+0.3+34.4+45+4.2+963+7087.2+2475</f>
        <v>33743.8</v>
      </c>
      <c r="E91" s="3">
        <f>D91/D155*100</f>
        <v>11.02718741983396</v>
      </c>
      <c r="F91" s="3">
        <f aca="true" t="shared" si="11" ref="F91:F97">D91/B91*100</f>
        <v>93.16190234286567</v>
      </c>
      <c r="G91" s="3">
        <f t="shared" si="9"/>
        <v>16.187741301627998</v>
      </c>
      <c r="H91" s="37">
        <f aca="true" t="shared" si="12" ref="H91:H97">B91-D91</f>
        <v>2476.7999999999956</v>
      </c>
      <c r="I91" s="37">
        <f t="shared" si="10"/>
        <v>174709</v>
      </c>
      <c r="J91" s="152"/>
      <c r="K91" s="153"/>
    </row>
    <row r="92" spans="1:11" s="151" customFormat="1" ht="21.75" customHeight="1">
      <c r="A92" s="92" t="s">
        <v>3</v>
      </c>
      <c r="B92" s="114">
        <v>33946.5</v>
      </c>
      <c r="C92" s="115">
        <v>195523.2</v>
      </c>
      <c r="D92" s="150">
        <f>244+2447.7+2707.4+7.9+32.8+292+16+4.4+487.2+6367.9-0.1+2554.5+39.8+0.3+122+1.4+575.3+1176+3828+1657.6+10+5.7+877.3+7018.3+1997.5</f>
        <v>32470.899999999994</v>
      </c>
      <c r="E92" s="96">
        <f>D92/D91*100</f>
        <v>96.22775146841788</v>
      </c>
      <c r="F92" s="96">
        <f t="shared" si="11"/>
        <v>95.65316011959995</v>
      </c>
      <c r="G92" s="96">
        <f t="shared" si="9"/>
        <v>16.607185234284213</v>
      </c>
      <c r="H92" s="94">
        <f t="shared" si="12"/>
        <v>1475.6000000000058</v>
      </c>
      <c r="I92" s="94">
        <f t="shared" si="10"/>
        <v>163052.30000000002</v>
      </c>
      <c r="K92" s="153"/>
    </row>
    <row r="93" spans="1:11" s="151" customFormat="1" ht="18">
      <c r="A93" s="92" t="s">
        <v>23</v>
      </c>
      <c r="B93" s="114">
        <v>708.6</v>
      </c>
      <c r="C93" s="115">
        <v>2704.7</v>
      </c>
      <c r="D93" s="94">
        <f>56.2+5.4+7.1+340.1</f>
        <v>408.8</v>
      </c>
      <c r="E93" s="96">
        <f>D93/D91*100</f>
        <v>1.2114818129552687</v>
      </c>
      <c r="F93" s="96">
        <f t="shared" si="11"/>
        <v>57.69122212814</v>
      </c>
      <c r="G93" s="96">
        <f t="shared" si="9"/>
        <v>15.114430435907867</v>
      </c>
      <c r="H93" s="94">
        <f t="shared" si="12"/>
        <v>299.8</v>
      </c>
      <c r="I93" s="94">
        <f t="shared" si="10"/>
        <v>2295.8999999999996</v>
      </c>
      <c r="K93" s="153"/>
    </row>
    <row r="94" spans="1:11" s="151" customFormat="1" ht="18" hidden="1">
      <c r="A94" s="92" t="s">
        <v>12</v>
      </c>
      <c r="B94" s="114"/>
      <c r="C94" s="115"/>
      <c r="D94" s="115"/>
      <c r="E94" s="116">
        <f>D94/D91*100</f>
        <v>0</v>
      </c>
      <c r="F94" s="96"/>
      <c r="G94" s="96" t="e">
        <f t="shared" si="9"/>
        <v>#DIV/0!</v>
      </c>
      <c r="H94" s="94">
        <f t="shared" si="12"/>
        <v>0</v>
      </c>
      <c r="I94" s="94">
        <f t="shared" si="10"/>
        <v>0</v>
      </c>
      <c r="K94" s="153">
        <f aca="true" t="shared" si="13" ref="K94:K102">C94-B94</f>
        <v>0</v>
      </c>
    </row>
    <row r="95" spans="1:11" s="151" customFormat="1" ht="18.75" thickBot="1">
      <c r="A95" s="92" t="s">
        <v>25</v>
      </c>
      <c r="B95" s="115">
        <f>B91-B92-B93-B94</f>
        <v>1565.4999999999986</v>
      </c>
      <c r="C95" s="115">
        <f>C91-C92-C93-C94</f>
        <v>10224.899999999976</v>
      </c>
      <c r="D95" s="115">
        <f>D91-D92-D93-D94</f>
        <v>864.1000000000088</v>
      </c>
      <c r="E95" s="96">
        <f>D95/D91*100</f>
        <v>2.560766718626855</v>
      </c>
      <c r="F95" s="96">
        <f t="shared" si="11"/>
        <v>55.196422868093876</v>
      </c>
      <c r="G95" s="96">
        <f>D95/C95*100</f>
        <v>8.450938395485636</v>
      </c>
      <c r="H95" s="94">
        <f t="shared" si="12"/>
        <v>701.3999999999899</v>
      </c>
      <c r="I95" s="94">
        <f>C95-D95</f>
        <v>9360.799999999967</v>
      </c>
      <c r="K95" s="153"/>
    </row>
    <row r="96" spans="1:11" ht="18.75">
      <c r="A96" s="76" t="s">
        <v>10</v>
      </c>
      <c r="B96" s="84">
        <f>10817.6-3200</f>
        <v>7617.6</v>
      </c>
      <c r="C96" s="79">
        <v>83543</v>
      </c>
      <c r="D96" s="78">
        <f>550.6+16+384.3+525.5+369.8+2.6+13.2+66.6+29.8+815.4+66.6+46.7+1198.1+490.3+154+72.1</f>
        <v>4801.599999999999</v>
      </c>
      <c r="E96" s="75">
        <f>D96/D155*100</f>
        <v>1.5691221236219608</v>
      </c>
      <c r="F96" s="77">
        <f t="shared" si="11"/>
        <v>63.03297626549044</v>
      </c>
      <c r="G96" s="74">
        <f>D96/C96*100</f>
        <v>5.747459392169301</v>
      </c>
      <c r="H96" s="78">
        <f t="shared" si="12"/>
        <v>2816.000000000001</v>
      </c>
      <c r="I96" s="80">
        <f>C96-D96</f>
        <v>78741.4</v>
      </c>
      <c r="J96" s="152"/>
      <c r="K96" s="153"/>
    </row>
    <row r="97" spans="1:11" s="151" customFormat="1" ht="18.75" thickBot="1">
      <c r="A97" s="117" t="s">
        <v>81</v>
      </c>
      <c r="B97" s="118">
        <f>3920.3-1800</f>
        <v>2120.3</v>
      </c>
      <c r="C97" s="119">
        <v>16376.6</v>
      </c>
      <c r="D97" s="120">
        <f>101+2.6+598.7</f>
        <v>702.3000000000001</v>
      </c>
      <c r="E97" s="121">
        <f>D97/D96*100</f>
        <v>14.626374541819398</v>
      </c>
      <c r="F97" s="122">
        <f t="shared" si="11"/>
        <v>33.12267132009622</v>
      </c>
      <c r="G97" s="123">
        <f>D97/C97*100</f>
        <v>4.288435939083815</v>
      </c>
      <c r="H97" s="124">
        <f t="shared" si="12"/>
        <v>1418</v>
      </c>
      <c r="I97" s="113">
        <f>C97-D97</f>
        <v>15674.300000000001</v>
      </c>
      <c r="J97" s="152"/>
      <c r="K97" s="153"/>
    </row>
    <row r="98" spans="1:11" ht="8.25" customHeight="1" thickBot="1">
      <c r="A98" s="15"/>
      <c r="B98" s="40"/>
      <c r="C98" s="48"/>
      <c r="D98" s="49"/>
      <c r="E98" s="6"/>
      <c r="F98" s="6"/>
      <c r="G98" s="6"/>
      <c r="H98" s="49"/>
      <c r="I98" s="49"/>
      <c r="J98" s="152"/>
      <c r="K98" s="153"/>
    </row>
    <row r="99" spans="1:11" ht="19.5" hidden="1" thickBot="1">
      <c r="A99" s="23" t="s">
        <v>35</v>
      </c>
      <c r="B99" s="56"/>
      <c r="C99" s="57"/>
      <c r="D99" s="58"/>
      <c r="E99" s="3">
        <f>D99/D155*100</f>
        <v>0</v>
      </c>
      <c r="F99" s="3"/>
      <c r="G99" s="3" t="e">
        <f>D99/C99*100</f>
        <v>#DIV/0!</v>
      </c>
      <c r="H99" s="37"/>
      <c r="I99" s="37">
        <f>C99-D99</f>
        <v>0</v>
      </c>
      <c r="J99" s="152"/>
      <c r="K99" s="153">
        <f t="shared" si="13"/>
        <v>0</v>
      </c>
    </row>
    <row r="100" spans="1:11" ht="5.25" customHeight="1" hidden="1" thickBot="1">
      <c r="A100" s="22"/>
      <c r="B100" s="53"/>
      <c r="C100" s="54"/>
      <c r="D100" s="55"/>
      <c r="E100" s="12"/>
      <c r="F100" s="6"/>
      <c r="G100" s="6"/>
      <c r="H100" s="49"/>
      <c r="I100" s="154"/>
      <c r="J100" s="152"/>
      <c r="K100" s="153">
        <f t="shared" si="13"/>
        <v>0</v>
      </c>
    </row>
    <row r="101" spans="1:11" s="13" customFormat="1" ht="36" customHeight="1" hidden="1" thickBot="1">
      <c r="A101" s="11" t="s">
        <v>49</v>
      </c>
      <c r="B101" s="42"/>
      <c r="C101" s="36"/>
      <c r="D101" s="37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7">
        <f>B101-D101</f>
        <v>0</v>
      </c>
      <c r="I101" s="37">
        <f>C101-D101</f>
        <v>0</v>
      </c>
      <c r="J101" s="146"/>
      <c r="K101" s="153">
        <f t="shared" si="13"/>
        <v>0</v>
      </c>
    </row>
    <row r="102" spans="1:11" ht="6.75" customHeight="1" hidden="1" thickBot="1">
      <c r="A102" s="155"/>
      <c r="B102" s="156"/>
      <c r="C102" s="54"/>
      <c r="D102" s="55"/>
      <c r="E102" s="12"/>
      <c r="F102" s="6"/>
      <c r="G102" s="6"/>
      <c r="H102" s="49"/>
      <c r="I102" s="154"/>
      <c r="J102" s="152"/>
      <c r="K102" s="153">
        <f t="shared" si="13"/>
        <v>0</v>
      </c>
    </row>
    <row r="103" spans="1:11" s="29" customFormat="1" ht="19.5" thickBot="1">
      <c r="A103" s="11" t="s">
        <v>9</v>
      </c>
      <c r="B103" s="83">
        <v>9424</v>
      </c>
      <c r="C103" s="66">
        <v>73778</v>
      </c>
      <c r="D103" s="62">
        <f>152.2+12.4+164.7+14+1585.4+13.1+10.2+18+148.6+2141.8+73.9+131.3+1879.3+351.3+97.1+16.6+48.3</f>
        <v>6858.200000000001</v>
      </c>
      <c r="E103" s="16">
        <f>D103/D155*100</f>
        <v>2.2412015470310176</v>
      </c>
      <c r="F103" s="16">
        <f>D103/B103*100</f>
        <v>72.77376910016979</v>
      </c>
      <c r="G103" s="16">
        <f aca="true" t="shared" si="14" ref="G103:G153">D103/C103*100</f>
        <v>9.295725012876469</v>
      </c>
      <c r="H103" s="62">
        <f aca="true" t="shared" si="15" ref="H103:H109">B103-D103</f>
        <v>2565.7999999999993</v>
      </c>
      <c r="I103" s="62">
        <f aca="true" t="shared" si="16" ref="I103:I153">C103-D103</f>
        <v>66919.8</v>
      </c>
      <c r="J103" s="147"/>
      <c r="K103" s="153"/>
    </row>
    <row r="104" spans="1:11" s="151" customFormat="1" ht="18.75" customHeight="1">
      <c r="A104" s="92" t="s">
        <v>3</v>
      </c>
      <c r="B104" s="106">
        <v>0</v>
      </c>
      <c r="C104" s="107">
        <v>543.6</v>
      </c>
      <c r="D104" s="107"/>
      <c r="E104" s="108">
        <f>D104/D103*100</f>
        <v>0</v>
      </c>
      <c r="F104" s="96" t="e">
        <f>D104/B104*100</f>
        <v>#DIV/0!</v>
      </c>
      <c r="G104" s="108">
        <f>D104/C104*100</f>
        <v>0</v>
      </c>
      <c r="H104" s="107">
        <f t="shared" si="15"/>
        <v>0</v>
      </c>
      <c r="I104" s="107">
        <f t="shared" si="16"/>
        <v>543.6</v>
      </c>
      <c r="J104" s="152"/>
      <c r="K104" s="153"/>
    </row>
    <row r="105" spans="1:11" s="151" customFormat="1" ht="18">
      <c r="A105" s="109" t="s">
        <v>46</v>
      </c>
      <c r="B105" s="93">
        <v>8237.8</v>
      </c>
      <c r="C105" s="94">
        <v>65554.9</v>
      </c>
      <c r="D105" s="94">
        <f>152.1+12.4+164.7+14+1585.4+8+18+148.5+2111.8+73.9+131.3+1879.3+114.9+217.3+66.2+14</f>
        <v>6711.8</v>
      </c>
      <c r="E105" s="96">
        <f>D105/D103*100</f>
        <v>97.86532909509783</v>
      </c>
      <c r="F105" s="96">
        <f aca="true" t="shared" si="17" ref="F105:F153">D105/B105*100</f>
        <v>81.47563669911871</v>
      </c>
      <c r="G105" s="96">
        <f t="shared" si="14"/>
        <v>10.238441367464524</v>
      </c>
      <c r="H105" s="94">
        <f t="shared" si="15"/>
        <v>1525.999999999999</v>
      </c>
      <c r="I105" s="94">
        <f t="shared" si="16"/>
        <v>58843.09999999999</v>
      </c>
      <c r="J105" s="152"/>
      <c r="K105" s="153"/>
    </row>
    <row r="106" spans="1:11" s="151" customFormat="1" ht="54.75" hidden="1" thickBot="1">
      <c r="A106" s="110" t="s">
        <v>77</v>
      </c>
      <c r="B106" s="111"/>
      <c r="C106" s="111"/>
      <c r="D106" s="111"/>
      <c r="E106" s="112">
        <f>D106/D103*100</f>
        <v>0</v>
      </c>
      <c r="F106" s="112" t="e">
        <f>D106/B106*100</f>
        <v>#DIV/0!</v>
      </c>
      <c r="G106" s="112" t="e">
        <f>D106/C106*100</f>
        <v>#DIV/0!</v>
      </c>
      <c r="H106" s="113">
        <f t="shared" si="15"/>
        <v>0</v>
      </c>
      <c r="I106" s="113">
        <f>C106-D106</f>
        <v>0</v>
      </c>
      <c r="J106" s="152"/>
      <c r="K106" s="153"/>
    </row>
    <row r="107" spans="1:11" s="151" customFormat="1" ht="18.75" thickBot="1">
      <c r="A107" s="110" t="s">
        <v>25</v>
      </c>
      <c r="B107" s="111">
        <f>B103-B104-B105</f>
        <v>1186.2000000000007</v>
      </c>
      <c r="C107" s="111">
        <f>C103-C104-C105</f>
        <v>7679.5</v>
      </c>
      <c r="D107" s="111">
        <f>D103-D104-D105</f>
        <v>146.40000000000055</v>
      </c>
      <c r="E107" s="112">
        <f>D107/D103*100</f>
        <v>2.1346709049021686</v>
      </c>
      <c r="F107" s="112">
        <f t="shared" si="17"/>
        <v>12.341932220536204</v>
      </c>
      <c r="G107" s="112">
        <f t="shared" si="14"/>
        <v>1.906374112897982</v>
      </c>
      <c r="H107" s="113">
        <f t="shared" si="15"/>
        <v>1039.8000000000002</v>
      </c>
      <c r="I107" s="113">
        <f t="shared" si="16"/>
        <v>7533.099999999999</v>
      </c>
      <c r="J107" s="152"/>
      <c r="K107" s="153"/>
    </row>
    <row r="108" spans="1:12" s="2" customFormat="1" ht="26.25" customHeight="1" thickBot="1">
      <c r="A108" s="63" t="s">
        <v>26</v>
      </c>
      <c r="B108" s="64">
        <f>SUM(B109:B152)-B116-B121+B153-B143-B144-B110-B113-B124-B125-B141-B134-B132-B139-B119</f>
        <v>91017.00000000001</v>
      </c>
      <c r="C108" s="64">
        <f>SUM(C109:C152)-C116-C121+C153-C143-C144-C110-C113-C124-C125-C141-C134-C132-C139-C119</f>
        <v>668316</v>
      </c>
      <c r="D108" s="64">
        <f>SUM(D109:D152)-D116-D121+D153-D143-D144-D110-D113-D124-D125-D141-D134-D132-D139-D119</f>
        <v>56469.69999999998</v>
      </c>
      <c r="E108" s="65">
        <f>D108/D155*100</f>
        <v>18.453818640514623</v>
      </c>
      <c r="F108" s="65">
        <f>D108/B108*100</f>
        <v>62.043024929408766</v>
      </c>
      <c r="G108" s="65">
        <f t="shared" si="14"/>
        <v>8.449550811292859</v>
      </c>
      <c r="H108" s="64">
        <f t="shared" si="15"/>
        <v>34547.30000000003</v>
      </c>
      <c r="I108" s="64">
        <f t="shared" si="16"/>
        <v>611846.3</v>
      </c>
      <c r="J108" s="144"/>
      <c r="K108" s="153"/>
      <c r="L108" s="86"/>
    </row>
    <row r="109" spans="1:12" s="151" customFormat="1" ht="37.5">
      <c r="A109" s="87" t="s">
        <v>50</v>
      </c>
      <c r="B109" s="165">
        <v>739.5</v>
      </c>
      <c r="C109" s="139">
        <v>4983.7</v>
      </c>
      <c r="D109" s="88">
        <f>1.8+140.5+138.5+0.9+33+80.9+13.3</f>
        <v>408.90000000000003</v>
      </c>
      <c r="E109" s="89">
        <f>D109/D108*100</f>
        <v>0.7241051395704248</v>
      </c>
      <c r="F109" s="89">
        <f t="shared" si="17"/>
        <v>55.294117647058826</v>
      </c>
      <c r="G109" s="89">
        <f t="shared" si="14"/>
        <v>8.204747476774285</v>
      </c>
      <c r="H109" s="90">
        <f t="shared" si="15"/>
        <v>330.59999999999997</v>
      </c>
      <c r="I109" s="90">
        <f t="shared" si="16"/>
        <v>4574.8</v>
      </c>
      <c r="K109" s="153"/>
      <c r="L109" s="91"/>
    </row>
    <row r="110" spans="1:12" s="151" customFormat="1" ht="18.75">
      <c r="A110" s="92" t="s">
        <v>23</v>
      </c>
      <c r="B110" s="93">
        <v>333.4</v>
      </c>
      <c r="C110" s="94">
        <v>2332.2</v>
      </c>
      <c r="D110" s="95">
        <f>2.4+138.5+0.9+33.1+80.9</f>
        <v>255.8</v>
      </c>
      <c r="E110" s="96">
        <f>D110/D109*100</f>
        <v>62.558082660797254</v>
      </c>
      <c r="F110" s="96">
        <f t="shared" si="17"/>
        <v>76.72465506898621</v>
      </c>
      <c r="G110" s="96">
        <f t="shared" si="14"/>
        <v>10.968184546779867</v>
      </c>
      <c r="H110" s="94">
        <f aca="true" t="shared" si="18" ref="H110:H153">B110-D110</f>
        <v>77.59999999999997</v>
      </c>
      <c r="I110" s="94">
        <f t="shared" si="16"/>
        <v>2076.3999999999996</v>
      </c>
      <c r="K110" s="153"/>
      <c r="L110" s="91"/>
    </row>
    <row r="111" spans="1:12" s="151" customFormat="1" ht="34.5" customHeight="1" hidden="1">
      <c r="A111" s="97" t="s">
        <v>76</v>
      </c>
      <c r="B111" s="141"/>
      <c r="C111" s="90"/>
      <c r="D111" s="88"/>
      <c r="E111" s="89">
        <f>D111/D108*100</f>
        <v>0</v>
      </c>
      <c r="F111" s="89" t="e">
        <f>D111/B111*100</f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3"/>
      <c r="L111" s="91"/>
    </row>
    <row r="112" spans="1:12" s="85" customFormat="1" ht="34.5" customHeight="1">
      <c r="A112" s="97" t="s">
        <v>91</v>
      </c>
      <c r="B112" s="142">
        <v>50</v>
      </c>
      <c r="C112" s="98">
        <v>300</v>
      </c>
      <c r="D112" s="99"/>
      <c r="E112" s="89">
        <f>D112/D108*100</f>
        <v>0</v>
      </c>
      <c r="F112" s="89">
        <f t="shared" si="17"/>
        <v>0</v>
      </c>
      <c r="G112" s="89">
        <f t="shared" si="14"/>
        <v>0</v>
      </c>
      <c r="H112" s="90">
        <f t="shared" si="18"/>
        <v>50</v>
      </c>
      <c r="I112" s="90">
        <f t="shared" si="16"/>
        <v>300</v>
      </c>
      <c r="K112" s="153"/>
      <c r="L112" s="91"/>
    </row>
    <row r="113" spans="1:12" s="151" customFormat="1" ht="18.75" customHeight="1" hidden="1">
      <c r="A113" s="92" t="s">
        <v>23</v>
      </c>
      <c r="B113" s="140"/>
      <c r="C113" s="94"/>
      <c r="D113" s="95"/>
      <c r="E113" s="96"/>
      <c r="F113" s="96" t="e">
        <f t="shared" si="17"/>
        <v>#DIV/0!</v>
      </c>
      <c r="G113" s="96" t="e">
        <f t="shared" si="14"/>
        <v>#DIV/0!</v>
      </c>
      <c r="H113" s="94">
        <f t="shared" si="18"/>
        <v>0</v>
      </c>
      <c r="I113" s="94">
        <f t="shared" si="16"/>
        <v>0</v>
      </c>
      <c r="K113" s="153"/>
      <c r="L113" s="91"/>
    </row>
    <row r="114" spans="1:12" s="151" customFormat="1" ht="18.75" customHeight="1" hidden="1">
      <c r="A114" s="97" t="s">
        <v>87</v>
      </c>
      <c r="B114" s="142"/>
      <c r="C114" s="90"/>
      <c r="D114" s="88"/>
      <c r="E114" s="89">
        <f>D114/D108*100</f>
        <v>0</v>
      </c>
      <c r="F114" s="89" t="e">
        <f t="shared" si="17"/>
        <v>#DIV/0!</v>
      </c>
      <c r="G114" s="89" t="e">
        <f t="shared" si="14"/>
        <v>#DIV/0!</v>
      </c>
      <c r="H114" s="90">
        <f t="shared" si="18"/>
        <v>0</v>
      </c>
      <c r="I114" s="90">
        <f t="shared" si="16"/>
        <v>0</v>
      </c>
      <c r="K114" s="153"/>
      <c r="L114" s="91"/>
    </row>
    <row r="115" spans="1:12" s="151" customFormat="1" ht="37.5">
      <c r="A115" s="97" t="s">
        <v>36</v>
      </c>
      <c r="B115" s="164">
        <v>998.4</v>
      </c>
      <c r="C115" s="90">
        <v>5785.2</v>
      </c>
      <c r="D115" s="88">
        <f>187.7+10.4+531.5+38.4+44.9</f>
        <v>812.9</v>
      </c>
      <c r="E115" s="89">
        <f>D115/D108*100</f>
        <v>1.4395330593220794</v>
      </c>
      <c r="F115" s="89">
        <f t="shared" si="17"/>
        <v>81.42027243589743</v>
      </c>
      <c r="G115" s="89">
        <f t="shared" si="14"/>
        <v>14.05137246767614</v>
      </c>
      <c r="H115" s="90">
        <f t="shared" si="18"/>
        <v>185.5</v>
      </c>
      <c r="I115" s="90">
        <f t="shared" si="16"/>
        <v>4972.3</v>
      </c>
      <c r="K115" s="153"/>
      <c r="L115" s="91"/>
    </row>
    <row r="116" spans="1:12" s="151" customFormat="1" ht="18.75" hidden="1">
      <c r="A116" s="100" t="s">
        <v>41</v>
      </c>
      <c r="B116" s="149"/>
      <c r="C116" s="94"/>
      <c r="D116" s="95"/>
      <c r="E116" s="89"/>
      <c r="F116" s="89" t="e">
        <f t="shared" si="17"/>
        <v>#DIV/0!</v>
      </c>
      <c r="G116" s="96" t="e">
        <f t="shared" si="14"/>
        <v>#DIV/0!</v>
      </c>
      <c r="H116" s="94">
        <f t="shared" si="18"/>
        <v>0</v>
      </c>
      <c r="I116" s="94">
        <f t="shared" si="16"/>
        <v>0</v>
      </c>
      <c r="K116" s="153"/>
      <c r="L116" s="91"/>
    </row>
    <row r="117" spans="1:12" s="85" customFormat="1" ht="18.75" customHeight="1" hidden="1">
      <c r="A117" s="97" t="s">
        <v>88</v>
      </c>
      <c r="B117" s="164"/>
      <c r="C117" s="98"/>
      <c r="D117" s="99"/>
      <c r="E117" s="101">
        <f>D117/D108*100</f>
        <v>0</v>
      </c>
      <c r="F117" s="89" t="e">
        <f t="shared" si="17"/>
        <v>#DIV/0!</v>
      </c>
      <c r="G117" s="101" t="e">
        <f t="shared" si="14"/>
        <v>#DIV/0!</v>
      </c>
      <c r="H117" s="98">
        <f t="shared" si="18"/>
        <v>0</v>
      </c>
      <c r="I117" s="98">
        <f t="shared" si="16"/>
        <v>0</v>
      </c>
      <c r="K117" s="153"/>
      <c r="L117" s="91"/>
    </row>
    <row r="118" spans="1:12" s="151" customFormat="1" ht="37.5" hidden="1">
      <c r="A118" s="97" t="s">
        <v>45</v>
      </c>
      <c r="B118" s="164"/>
      <c r="C118" s="90"/>
      <c r="D118" s="88"/>
      <c r="E118" s="89">
        <f>D118/D108*100</f>
        <v>0</v>
      </c>
      <c r="F118" s="89" t="e">
        <f>D118/B118*100</f>
        <v>#DIV/0!</v>
      </c>
      <c r="G118" s="89" t="e">
        <f t="shared" si="14"/>
        <v>#DIV/0!</v>
      </c>
      <c r="H118" s="90">
        <f t="shared" si="18"/>
        <v>0</v>
      </c>
      <c r="I118" s="90">
        <f t="shared" si="16"/>
        <v>0</v>
      </c>
      <c r="K118" s="153"/>
      <c r="L118" s="91"/>
    </row>
    <row r="119" spans="1:12" s="151" customFormat="1" ht="18.75" hidden="1">
      <c r="A119" s="100" t="s">
        <v>86</v>
      </c>
      <c r="B119" s="149"/>
      <c r="C119" s="150"/>
      <c r="D119" s="95"/>
      <c r="E119" s="96" t="e">
        <f>D119/D118*100</f>
        <v>#DIV/0!</v>
      </c>
      <c r="F119" s="96" t="e">
        <f>D119/B119*100</f>
        <v>#DIV/0!</v>
      </c>
      <c r="G119" s="96" t="e">
        <f>D119/C119*100</f>
        <v>#DIV/0!</v>
      </c>
      <c r="H119" s="94">
        <f>B119-D119</f>
        <v>0</v>
      </c>
      <c r="I119" s="94">
        <f>C119-D119</f>
        <v>0</v>
      </c>
      <c r="K119" s="153"/>
      <c r="L119" s="91"/>
    </row>
    <row r="120" spans="1:12" s="102" customFormat="1" ht="18.75">
      <c r="A120" s="97" t="s">
        <v>13</v>
      </c>
      <c r="B120" s="164">
        <v>201.7</v>
      </c>
      <c r="C120" s="98">
        <v>1024.8</v>
      </c>
      <c r="D120" s="88">
        <f>80.5+0.2+38.8+80.5</f>
        <v>200</v>
      </c>
      <c r="E120" s="89">
        <f>D120/D108*100</f>
        <v>0.3541722375008191</v>
      </c>
      <c r="F120" s="89">
        <f t="shared" si="17"/>
        <v>99.1571641051066</v>
      </c>
      <c r="G120" s="89">
        <f t="shared" si="14"/>
        <v>19.5160031225605</v>
      </c>
      <c r="H120" s="90">
        <f t="shared" si="18"/>
        <v>1.6999999999999886</v>
      </c>
      <c r="I120" s="90">
        <f t="shared" si="16"/>
        <v>824.8</v>
      </c>
      <c r="K120" s="153"/>
      <c r="L120" s="91"/>
    </row>
    <row r="121" spans="1:12" s="103" customFormat="1" ht="18.75">
      <c r="A121" s="100" t="s">
        <v>41</v>
      </c>
      <c r="B121" s="149">
        <v>161</v>
      </c>
      <c r="C121" s="94">
        <v>724.7</v>
      </c>
      <c r="D121" s="95">
        <f>80.5+80.5</f>
        <v>161</v>
      </c>
      <c r="E121" s="96">
        <f>D121/D120*100</f>
        <v>80.5</v>
      </c>
      <c r="F121" s="96">
        <f t="shared" si="17"/>
        <v>100</v>
      </c>
      <c r="G121" s="96">
        <f t="shared" si="14"/>
        <v>22.216089416310194</v>
      </c>
      <c r="H121" s="94">
        <f t="shared" si="18"/>
        <v>0</v>
      </c>
      <c r="I121" s="94">
        <f t="shared" si="16"/>
        <v>563.7</v>
      </c>
      <c r="K121" s="153"/>
      <c r="L121" s="91"/>
    </row>
    <row r="122" spans="1:12" s="102" customFormat="1" ht="18.75">
      <c r="A122" s="97" t="s">
        <v>103</v>
      </c>
      <c r="B122" s="164">
        <v>0</v>
      </c>
      <c r="C122" s="98">
        <v>347</v>
      </c>
      <c r="D122" s="88"/>
      <c r="E122" s="89">
        <f>D122/D108*100</f>
        <v>0</v>
      </c>
      <c r="F122" s="89" t="e">
        <f t="shared" si="17"/>
        <v>#DIV/0!</v>
      </c>
      <c r="G122" s="89">
        <f t="shared" si="14"/>
        <v>0</v>
      </c>
      <c r="H122" s="90">
        <f t="shared" si="18"/>
        <v>0</v>
      </c>
      <c r="I122" s="90">
        <f t="shared" si="16"/>
        <v>347</v>
      </c>
      <c r="K122" s="153"/>
      <c r="L122" s="91"/>
    </row>
    <row r="123" spans="1:13" s="102" customFormat="1" ht="21.75" customHeight="1" hidden="1">
      <c r="A123" s="97" t="s">
        <v>92</v>
      </c>
      <c r="B123" s="164"/>
      <c r="C123" s="98"/>
      <c r="D123" s="99"/>
      <c r="E123" s="101">
        <f>D123/D108*100</f>
        <v>0</v>
      </c>
      <c r="F123" s="89" t="e">
        <f t="shared" si="17"/>
        <v>#DIV/0!</v>
      </c>
      <c r="G123" s="89" t="e">
        <f t="shared" si="14"/>
        <v>#DIV/0!</v>
      </c>
      <c r="H123" s="90">
        <f t="shared" si="18"/>
        <v>0</v>
      </c>
      <c r="I123" s="90">
        <f t="shared" si="16"/>
        <v>0</v>
      </c>
      <c r="J123" s="144"/>
      <c r="K123" s="153">
        <f>H109+H112+H114+H115+H118+H120+H122+H127+H128+H129+H131+H133+H137+H138+H140+H70</f>
        <v>1453.1</v>
      </c>
      <c r="L123" s="153">
        <f>I109+I112+I114+I115+I118+I120+I122+I127+I128+I129+I131+I133+I137+I138+I140+I70</f>
        <v>17377.899999999998</v>
      </c>
      <c r="M123" s="153">
        <f>J109+J112+J114+J115+J118+J120+J122+J127+J128+J129+J131+J133+J137+J138+J140+J70</f>
        <v>0</v>
      </c>
    </row>
    <row r="124" spans="1:12" s="104" customFormat="1" ht="18.75" hidden="1">
      <c r="A124" s="92" t="s">
        <v>78</v>
      </c>
      <c r="B124" s="149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3"/>
      <c r="L124" s="91"/>
    </row>
    <row r="125" spans="1:12" s="104" customFormat="1" ht="18.75" hidden="1">
      <c r="A125" s="92" t="s">
        <v>47</v>
      </c>
      <c r="B125" s="149"/>
      <c r="C125" s="94"/>
      <c r="D125" s="95"/>
      <c r="E125" s="89"/>
      <c r="F125" s="96" t="e">
        <f>D125/B125*100</f>
        <v>#DIV/0!</v>
      </c>
      <c r="G125" s="96" t="e">
        <f t="shared" si="14"/>
        <v>#DIV/0!</v>
      </c>
      <c r="H125" s="94">
        <f t="shared" si="18"/>
        <v>0</v>
      </c>
      <c r="I125" s="94">
        <f t="shared" si="16"/>
        <v>0</v>
      </c>
      <c r="K125" s="153"/>
      <c r="L125" s="91"/>
    </row>
    <row r="126" spans="1:12" s="102" customFormat="1" ht="37.5">
      <c r="A126" s="97" t="s">
        <v>93</v>
      </c>
      <c r="B126" s="164">
        <v>3686.5</v>
      </c>
      <c r="C126" s="98">
        <v>6156.2</v>
      </c>
      <c r="D126" s="99">
        <f>871.9+408.1+585.9+900.5+901.8</f>
        <v>3668.2</v>
      </c>
      <c r="E126" s="101">
        <f>D126/D108*100</f>
        <v>6.495873008002523</v>
      </c>
      <c r="F126" s="89">
        <f t="shared" si="17"/>
        <v>99.50359419503594</v>
      </c>
      <c r="G126" s="89">
        <f t="shared" si="14"/>
        <v>59.585458562099994</v>
      </c>
      <c r="H126" s="90">
        <f t="shared" si="18"/>
        <v>18.300000000000182</v>
      </c>
      <c r="I126" s="90">
        <f t="shared" si="16"/>
        <v>2488</v>
      </c>
      <c r="K126" s="153"/>
      <c r="L126" s="91"/>
    </row>
    <row r="127" spans="1:12" s="102" customFormat="1" ht="18.75" hidden="1">
      <c r="A127" s="97" t="s">
        <v>89</v>
      </c>
      <c r="B127" s="164"/>
      <c r="C127" s="98"/>
      <c r="D127" s="99"/>
      <c r="E127" s="101">
        <f>D127/D108*100</f>
        <v>0</v>
      </c>
      <c r="F127" s="89" t="e">
        <f t="shared" si="17"/>
        <v>#DIV/0!</v>
      </c>
      <c r="G127" s="89" t="e">
        <f t="shared" si="14"/>
        <v>#DIV/0!</v>
      </c>
      <c r="H127" s="90">
        <f t="shared" si="18"/>
        <v>0</v>
      </c>
      <c r="I127" s="90">
        <f t="shared" si="16"/>
        <v>0</v>
      </c>
      <c r="K127" s="153"/>
      <c r="L127" s="91"/>
    </row>
    <row r="128" spans="1:17" s="102" customFormat="1" ht="37.5">
      <c r="A128" s="97" t="s">
        <v>98</v>
      </c>
      <c r="B128" s="164">
        <v>118</v>
      </c>
      <c r="C128" s="98">
        <v>483</v>
      </c>
      <c r="D128" s="99">
        <v>2.2</v>
      </c>
      <c r="E128" s="101">
        <f>D128/D108*100</f>
        <v>0.0038958946125090105</v>
      </c>
      <c r="F128" s="89">
        <f t="shared" si="17"/>
        <v>1.864406779661017</v>
      </c>
      <c r="G128" s="89">
        <f t="shared" si="14"/>
        <v>0.45548654244306425</v>
      </c>
      <c r="H128" s="90">
        <f t="shared" si="18"/>
        <v>115.8</v>
      </c>
      <c r="I128" s="90">
        <f t="shared" si="16"/>
        <v>480.8</v>
      </c>
      <c r="K128" s="153"/>
      <c r="L128" s="91"/>
      <c r="Q128" s="91"/>
    </row>
    <row r="129" spans="1:17" s="102" customFormat="1" ht="37.5">
      <c r="A129" s="97" t="s">
        <v>83</v>
      </c>
      <c r="B129" s="164">
        <v>38.6</v>
      </c>
      <c r="C129" s="98">
        <v>154.3</v>
      </c>
      <c r="D129" s="99"/>
      <c r="E129" s="101">
        <f>D129/D108*100</f>
        <v>0</v>
      </c>
      <c r="F129" s="89">
        <f t="shared" si="17"/>
        <v>0</v>
      </c>
      <c r="G129" s="89">
        <f t="shared" si="14"/>
        <v>0</v>
      </c>
      <c r="H129" s="90">
        <f t="shared" si="18"/>
        <v>38.6</v>
      </c>
      <c r="I129" s="90">
        <f t="shared" si="16"/>
        <v>154.3</v>
      </c>
      <c r="K129" s="153"/>
      <c r="L129" s="91"/>
      <c r="Q129" s="91"/>
    </row>
    <row r="130" spans="1:12" s="102" customFormat="1" ht="18.75" hidden="1">
      <c r="A130" s="100" t="s">
        <v>81</v>
      </c>
      <c r="B130" s="164"/>
      <c r="C130" s="98"/>
      <c r="D130" s="99"/>
      <c r="E130" s="101">
        <f>D130/D109*100</f>
        <v>0</v>
      </c>
      <c r="F130" s="89" t="e">
        <f t="shared" si="17"/>
        <v>#DIV/0!</v>
      </c>
      <c r="G130" s="89" t="e">
        <f t="shared" si="14"/>
        <v>#DIV/0!</v>
      </c>
      <c r="H130" s="90">
        <f t="shared" si="18"/>
        <v>0</v>
      </c>
      <c r="I130" s="90">
        <f t="shared" si="16"/>
        <v>0</v>
      </c>
      <c r="K130" s="153"/>
      <c r="L130" s="91"/>
    </row>
    <row r="131" spans="1:17" s="102" customFormat="1" ht="37.5">
      <c r="A131" s="97" t="s">
        <v>55</v>
      </c>
      <c r="B131" s="164">
        <v>144.2</v>
      </c>
      <c r="C131" s="98">
        <v>1003.9</v>
      </c>
      <c r="D131" s="99">
        <f>7.7+12.9+2.8+0.3+0.9+48+9.2+16</f>
        <v>97.8</v>
      </c>
      <c r="E131" s="101">
        <f>D131/D108*100</f>
        <v>0.17319022413790056</v>
      </c>
      <c r="F131" s="89">
        <f t="shared" si="17"/>
        <v>67.82246879334258</v>
      </c>
      <c r="G131" s="89">
        <f t="shared" si="14"/>
        <v>9.742006175913936</v>
      </c>
      <c r="H131" s="90">
        <f t="shared" si="18"/>
        <v>46.39999999999999</v>
      </c>
      <c r="I131" s="90">
        <f t="shared" si="16"/>
        <v>906.1</v>
      </c>
      <c r="K131" s="153"/>
      <c r="L131" s="91"/>
      <c r="Q131" s="91"/>
    </row>
    <row r="132" spans="1:17" s="103" customFormat="1" ht="18.75">
      <c r="A132" s="92" t="s">
        <v>86</v>
      </c>
      <c r="B132" s="149">
        <v>67.3</v>
      </c>
      <c r="C132" s="94">
        <v>553.3</v>
      </c>
      <c r="D132" s="95">
        <f>7.7+48+7.7</f>
        <v>63.400000000000006</v>
      </c>
      <c r="E132" s="96">
        <f>D132/D131*100</f>
        <v>64.82617586912066</v>
      </c>
      <c r="F132" s="96">
        <f>D132/B132*100</f>
        <v>94.20505200594354</v>
      </c>
      <c r="G132" s="96">
        <f t="shared" si="14"/>
        <v>11.458521597686609</v>
      </c>
      <c r="H132" s="94">
        <f t="shared" si="18"/>
        <v>3.8999999999999915</v>
      </c>
      <c r="I132" s="94">
        <f t="shared" si="16"/>
        <v>489.9</v>
      </c>
      <c r="K132" s="153"/>
      <c r="L132" s="91"/>
      <c r="Q132" s="135"/>
    </row>
    <row r="133" spans="1:12" s="102" customFormat="1" ht="37.5">
      <c r="A133" s="97" t="s">
        <v>101</v>
      </c>
      <c r="B133" s="164">
        <v>0</v>
      </c>
      <c r="C133" s="98">
        <v>250</v>
      </c>
      <c r="D133" s="99"/>
      <c r="E133" s="101">
        <f>D133/D108*100</f>
        <v>0</v>
      </c>
      <c r="F133" s="89" t="e">
        <f t="shared" si="17"/>
        <v>#DIV/0!</v>
      </c>
      <c r="G133" s="89">
        <f t="shared" si="14"/>
        <v>0</v>
      </c>
      <c r="H133" s="90">
        <f t="shared" si="18"/>
        <v>0</v>
      </c>
      <c r="I133" s="90">
        <f t="shared" si="16"/>
        <v>250</v>
      </c>
      <c r="K133" s="153"/>
      <c r="L133" s="91"/>
    </row>
    <row r="134" spans="1:12" s="103" customFormat="1" ht="18.75" hidden="1">
      <c r="A134" s="100" t="s">
        <v>41</v>
      </c>
      <c r="B134" s="149"/>
      <c r="C134" s="94"/>
      <c r="D134" s="95"/>
      <c r="E134" s="96"/>
      <c r="F134" s="96" t="e">
        <f>D134/B134*100</f>
        <v>#DIV/0!</v>
      </c>
      <c r="G134" s="96" t="e">
        <f t="shared" si="14"/>
        <v>#DIV/0!</v>
      </c>
      <c r="H134" s="94">
        <f t="shared" si="18"/>
        <v>0</v>
      </c>
      <c r="I134" s="94">
        <f t="shared" si="16"/>
        <v>0</v>
      </c>
      <c r="K134" s="153"/>
      <c r="L134" s="91"/>
    </row>
    <row r="135" spans="1:12" s="102" customFormat="1" ht="35.25" customHeight="1" hidden="1">
      <c r="A135" s="97" t="s">
        <v>100</v>
      </c>
      <c r="B135" s="164"/>
      <c r="C135" s="98"/>
      <c r="D135" s="99"/>
      <c r="E135" s="101">
        <f>D135/D108*100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>C135-D135</f>
        <v>0</v>
      </c>
      <c r="K135" s="153"/>
      <c r="L135" s="91"/>
    </row>
    <row r="136" spans="1:12" s="102" customFormat="1" ht="21.75" customHeight="1" hidden="1">
      <c r="A136" s="97" t="s">
        <v>99</v>
      </c>
      <c r="B136" s="164"/>
      <c r="C136" s="98"/>
      <c r="D136" s="99"/>
      <c r="E136" s="101">
        <f>D136/D108*100</f>
        <v>0</v>
      </c>
      <c r="F136" s="89" t="e">
        <f t="shared" si="17"/>
        <v>#DIV/0!</v>
      </c>
      <c r="G136" s="89" t="e">
        <f t="shared" si="14"/>
        <v>#DIV/0!</v>
      </c>
      <c r="H136" s="90">
        <f t="shared" si="18"/>
        <v>0</v>
      </c>
      <c r="I136" s="90">
        <f t="shared" si="16"/>
        <v>0</v>
      </c>
      <c r="K136" s="153"/>
      <c r="L136" s="91"/>
    </row>
    <row r="137" spans="1:12" s="102" customFormat="1" ht="35.25" customHeight="1">
      <c r="A137" s="97" t="s">
        <v>85</v>
      </c>
      <c r="B137" s="164">
        <v>430.7</v>
      </c>
      <c r="C137" s="98">
        <v>2964.5</v>
      </c>
      <c r="D137" s="99"/>
      <c r="E137" s="101">
        <f>D137/D108*100</f>
        <v>0</v>
      </c>
      <c r="F137" s="89">
        <f t="shared" si="17"/>
        <v>0</v>
      </c>
      <c r="G137" s="89">
        <f t="shared" si="14"/>
        <v>0</v>
      </c>
      <c r="H137" s="90">
        <f t="shared" si="18"/>
        <v>430.7</v>
      </c>
      <c r="I137" s="90">
        <f t="shared" si="16"/>
        <v>2964.5</v>
      </c>
      <c r="K137" s="153"/>
      <c r="L137" s="91"/>
    </row>
    <row r="138" spans="1:12" s="102" customFormat="1" ht="39" customHeight="1">
      <c r="A138" s="97" t="s">
        <v>52</v>
      </c>
      <c r="B138" s="164">
        <v>0</v>
      </c>
      <c r="C138" s="98">
        <v>350</v>
      </c>
      <c r="D138" s="99"/>
      <c r="E138" s="101">
        <f>D138/D108*100</f>
        <v>0</v>
      </c>
      <c r="F138" s="89" t="e">
        <f t="shared" si="17"/>
        <v>#DIV/0!</v>
      </c>
      <c r="G138" s="89">
        <f t="shared" si="14"/>
        <v>0</v>
      </c>
      <c r="H138" s="90">
        <f t="shared" si="18"/>
        <v>0</v>
      </c>
      <c r="I138" s="90">
        <f t="shared" si="16"/>
        <v>350</v>
      </c>
      <c r="K138" s="153"/>
      <c r="L138" s="91"/>
    </row>
    <row r="139" spans="1:12" s="103" customFormat="1" ht="18.75">
      <c r="A139" s="92" t="s">
        <v>86</v>
      </c>
      <c r="B139" s="149">
        <v>0</v>
      </c>
      <c r="C139" s="94">
        <v>110</v>
      </c>
      <c r="D139" s="95"/>
      <c r="E139" s="96"/>
      <c r="F139" s="89" t="e">
        <f>D139/B139*100</f>
        <v>#DIV/0!</v>
      </c>
      <c r="G139" s="96">
        <f>D139/C139*100</f>
        <v>0</v>
      </c>
      <c r="H139" s="94">
        <f>B139-D139</f>
        <v>0</v>
      </c>
      <c r="I139" s="94">
        <f>C139-D139</f>
        <v>110</v>
      </c>
      <c r="K139" s="153"/>
      <c r="L139" s="91"/>
    </row>
    <row r="140" spans="1:12" s="102" customFormat="1" ht="32.25" customHeight="1">
      <c r="A140" s="97" t="s">
        <v>82</v>
      </c>
      <c r="B140" s="164">
        <v>133.9</v>
      </c>
      <c r="C140" s="98">
        <v>642.9</v>
      </c>
      <c r="D140" s="99">
        <v>3.4</v>
      </c>
      <c r="E140" s="101">
        <f>D140/D108*100</f>
        <v>0.006020928037513925</v>
      </c>
      <c r="F140" s="89">
        <f>D140/B140*100</f>
        <v>2.5392083644510826</v>
      </c>
      <c r="G140" s="89">
        <f>D140/C140*100</f>
        <v>0.5288536319800902</v>
      </c>
      <c r="H140" s="90">
        <f t="shared" si="18"/>
        <v>130.5</v>
      </c>
      <c r="I140" s="90">
        <f t="shared" si="16"/>
        <v>639.5</v>
      </c>
      <c r="K140" s="153"/>
      <c r="L140" s="91"/>
    </row>
    <row r="141" spans="1:12" s="103" customFormat="1" ht="18.75">
      <c r="A141" s="92" t="s">
        <v>23</v>
      </c>
      <c r="B141" s="149">
        <v>113.9</v>
      </c>
      <c r="C141" s="94">
        <v>524.9</v>
      </c>
      <c r="D141" s="95">
        <v>0.4</v>
      </c>
      <c r="E141" s="96">
        <f>D141/D140*100</f>
        <v>11.764705882352942</v>
      </c>
      <c r="F141" s="96">
        <f t="shared" si="17"/>
        <v>0.35118525021949076</v>
      </c>
      <c r="G141" s="96">
        <f>D141/C141*100</f>
        <v>0.07620499142693847</v>
      </c>
      <c r="H141" s="94">
        <f t="shared" si="18"/>
        <v>113.5</v>
      </c>
      <c r="I141" s="94">
        <f t="shared" si="16"/>
        <v>524.5</v>
      </c>
      <c r="K141" s="153"/>
      <c r="L141" s="91"/>
    </row>
    <row r="142" spans="1:12" s="102" customFormat="1" ht="18.75">
      <c r="A142" s="97" t="s">
        <v>94</v>
      </c>
      <c r="B142" s="164">
        <v>335.1</v>
      </c>
      <c r="C142" s="98">
        <v>2262.8</v>
      </c>
      <c r="D142" s="99">
        <f>33.6+100.1+61.4+1.9+88.9</f>
        <v>285.9</v>
      </c>
      <c r="E142" s="101">
        <f>D142/D108*100</f>
        <v>0.506289213507421</v>
      </c>
      <c r="F142" s="89">
        <f t="shared" si="17"/>
        <v>85.31781557743956</v>
      </c>
      <c r="G142" s="89">
        <f t="shared" si="14"/>
        <v>12.634788757291847</v>
      </c>
      <c r="H142" s="90">
        <f t="shared" si="18"/>
        <v>49.200000000000045</v>
      </c>
      <c r="I142" s="90">
        <f t="shared" si="16"/>
        <v>1976.9</v>
      </c>
      <c r="J142" s="144"/>
      <c r="K142" s="153"/>
      <c r="L142" s="91"/>
    </row>
    <row r="143" spans="1:13" s="103" customFormat="1" ht="18.75">
      <c r="A143" s="100" t="s">
        <v>41</v>
      </c>
      <c r="B143" s="149">
        <v>274.8</v>
      </c>
      <c r="C143" s="94">
        <v>1867.4</v>
      </c>
      <c r="D143" s="95">
        <f>33.6+99.1+51.9+81.4</f>
        <v>266</v>
      </c>
      <c r="E143" s="96">
        <f>D143/D142*100</f>
        <v>93.03952430919902</v>
      </c>
      <c r="F143" s="96">
        <f aca="true" t="shared" si="19" ref="F143:F152">D143/B143*100</f>
        <v>96.79767103347889</v>
      </c>
      <c r="G143" s="96">
        <f t="shared" si="14"/>
        <v>14.244403984149084</v>
      </c>
      <c r="H143" s="94">
        <f t="shared" si="18"/>
        <v>8.800000000000011</v>
      </c>
      <c r="I143" s="94">
        <f t="shared" si="16"/>
        <v>1601.4</v>
      </c>
      <c r="J143" s="145"/>
      <c r="K143" s="153"/>
      <c r="L143" s="91">
        <f>B109+B112+B115+B118+B120+B127+B128+B129+B131+B137+B72+B133+B138+B122+B114+B140+B71</f>
        <v>2978.3</v>
      </c>
      <c r="M143" s="135">
        <f>H70+H109+H115+H120+H122+H128+H129+H131+H133+H137+H138+H140+50</f>
        <v>1453.1</v>
      </c>
    </row>
    <row r="144" spans="1:13" s="103" customFormat="1" ht="18.75">
      <c r="A144" s="92" t="s">
        <v>23</v>
      </c>
      <c r="B144" s="149">
        <v>17.7</v>
      </c>
      <c r="C144" s="94">
        <v>48</v>
      </c>
      <c r="D144" s="95">
        <v>9.3</v>
      </c>
      <c r="E144" s="96">
        <f>D144/D142*100</f>
        <v>3.252885624344177</v>
      </c>
      <c r="F144" s="96">
        <f t="shared" si="19"/>
        <v>52.54237288135594</v>
      </c>
      <c r="G144" s="96">
        <f>D144/C144*100</f>
        <v>19.375</v>
      </c>
      <c r="H144" s="94">
        <f t="shared" si="18"/>
        <v>8.399999999999999</v>
      </c>
      <c r="I144" s="94">
        <f t="shared" si="16"/>
        <v>38.7</v>
      </c>
      <c r="J144" s="145"/>
      <c r="K144" s="153"/>
      <c r="L144" s="91" t="s">
        <v>111</v>
      </c>
      <c r="M144" s="135">
        <f>H110+H141</f>
        <v>191.09999999999997</v>
      </c>
    </row>
    <row r="145" spans="1:12" s="102" customFormat="1" ht="33.75" customHeight="1">
      <c r="A145" s="105" t="s">
        <v>54</v>
      </c>
      <c r="B145" s="164"/>
      <c r="C145" s="98"/>
      <c r="D145" s="99"/>
      <c r="E145" s="101">
        <f>D145/D108*100</f>
        <v>0</v>
      </c>
      <c r="F145" s="89" t="e">
        <f t="shared" si="19"/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4"/>
      <c r="K145" s="153"/>
      <c r="L145" s="91"/>
    </row>
    <row r="146" spans="1:12" s="102" customFormat="1" ht="18.75">
      <c r="A146" s="105" t="s">
        <v>90</v>
      </c>
      <c r="B146" s="164"/>
      <c r="C146" s="98"/>
      <c r="D146" s="99"/>
      <c r="E146" s="101">
        <f>D146/D108*100</f>
        <v>0</v>
      </c>
      <c r="F146" s="89" t="e">
        <f>D146/B146*100</f>
        <v>#DIV/0!</v>
      </c>
      <c r="G146" s="89" t="e">
        <f t="shared" si="14"/>
        <v>#DIV/0!</v>
      </c>
      <c r="H146" s="90">
        <f t="shared" si="18"/>
        <v>0</v>
      </c>
      <c r="I146" s="90">
        <f t="shared" si="16"/>
        <v>0</v>
      </c>
      <c r="J146" s="144"/>
      <c r="K146" s="153"/>
      <c r="L146" s="91"/>
    </row>
    <row r="147" spans="1:12" s="102" customFormat="1" ht="18.75">
      <c r="A147" s="105" t="s">
        <v>95</v>
      </c>
      <c r="B147" s="164">
        <f>11954.6+9000</f>
        <v>20954.6</v>
      </c>
      <c r="C147" s="98">
        <v>148561.8</v>
      </c>
      <c r="D147" s="99">
        <f>457.7+20.2+2395.4+103.8+376.7+1013.1+85.7+519.6+3989.1+192.1+9596.6+54.9</f>
        <v>18804.9</v>
      </c>
      <c r="E147" s="101">
        <f>D147/D108*100</f>
        <v>33.30086754489577</v>
      </c>
      <c r="F147" s="89">
        <f t="shared" si="19"/>
        <v>89.74115468679909</v>
      </c>
      <c r="G147" s="89">
        <f t="shared" si="14"/>
        <v>12.657964564241952</v>
      </c>
      <c r="H147" s="90">
        <f t="shared" si="18"/>
        <v>2149.699999999997</v>
      </c>
      <c r="I147" s="90">
        <f t="shared" si="16"/>
        <v>129756.9</v>
      </c>
      <c r="J147" s="144"/>
      <c r="K147" s="153"/>
      <c r="L147" s="91"/>
    </row>
    <row r="148" spans="1:12" s="102" customFormat="1" ht="18.75" hidden="1">
      <c r="A148" s="105" t="s">
        <v>84</v>
      </c>
      <c r="B148" s="164"/>
      <c r="C148" s="98"/>
      <c r="D148" s="99"/>
      <c r="E148" s="101">
        <f>D148/D108*100</f>
        <v>0</v>
      </c>
      <c r="F148" s="89" t="e">
        <f t="shared" si="19"/>
        <v>#DIV/0!</v>
      </c>
      <c r="G148" s="89" t="e">
        <f t="shared" si="14"/>
        <v>#DIV/0!</v>
      </c>
      <c r="H148" s="90">
        <f t="shared" si="18"/>
        <v>0</v>
      </c>
      <c r="I148" s="90">
        <f t="shared" si="16"/>
        <v>0</v>
      </c>
      <c r="J148" s="144"/>
      <c r="K148" s="153"/>
      <c r="L148" s="91"/>
    </row>
    <row r="149" spans="1:12" s="102" customFormat="1" ht="37.5" hidden="1">
      <c r="A149" s="105" t="s">
        <v>102</v>
      </c>
      <c r="B149" s="164"/>
      <c r="C149" s="98"/>
      <c r="D149" s="99"/>
      <c r="E149" s="101">
        <f>D149/D110*100</f>
        <v>0</v>
      </c>
      <c r="F149" s="89" t="e">
        <f>D149/B149*100</f>
        <v>#DIV/0!</v>
      </c>
      <c r="G149" s="89" t="e">
        <f>D149/C149*100</f>
        <v>#DIV/0!</v>
      </c>
      <c r="H149" s="90">
        <f>B149-D149</f>
        <v>0</v>
      </c>
      <c r="I149" s="90">
        <f>C149-D149</f>
        <v>0</v>
      </c>
      <c r="J149" s="144"/>
      <c r="K149" s="153"/>
      <c r="L149" s="91"/>
    </row>
    <row r="150" spans="1:12" s="102" customFormat="1" ht="18.75">
      <c r="A150" s="97" t="s">
        <v>96</v>
      </c>
      <c r="B150" s="164">
        <v>0</v>
      </c>
      <c r="C150" s="98">
        <v>93.9</v>
      </c>
      <c r="D150" s="99"/>
      <c r="E150" s="101">
        <f>D150/D108*100</f>
        <v>0</v>
      </c>
      <c r="F150" s="89" t="e">
        <f t="shared" si="19"/>
        <v>#DIV/0!</v>
      </c>
      <c r="G150" s="89">
        <f t="shared" si="14"/>
        <v>0</v>
      </c>
      <c r="H150" s="90">
        <f t="shared" si="18"/>
        <v>0</v>
      </c>
      <c r="I150" s="90">
        <f t="shared" si="16"/>
        <v>93.9</v>
      </c>
      <c r="J150" s="144"/>
      <c r="K150" s="153"/>
      <c r="L150" s="91"/>
    </row>
    <row r="151" spans="1:12" s="102" customFormat="1" ht="18" customHeight="1">
      <c r="A151" s="97" t="s">
        <v>75</v>
      </c>
      <c r="B151" s="142">
        <f>57.4+1342</f>
        <v>1399.4</v>
      </c>
      <c r="C151" s="171">
        <f>509.5+13731.5</f>
        <v>14241</v>
      </c>
      <c r="D151" s="99"/>
      <c r="E151" s="101">
        <f>D151/D108*100</f>
        <v>0</v>
      </c>
      <c r="F151" s="89">
        <f t="shared" si="19"/>
        <v>0</v>
      </c>
      <c r="G151" s="89">
        <f t="shared" si="14"/>
        <v>0</v>
      </c>
      <c r="H151" s="90">
        <f t="shared" si="18"/>
        <v>1399.4</v>
      </c>
      <c r="I151" s="90">
        <f t="shared" si="16"/>
        <v>14241</v>
      </c>
      <c r="J151" s="144"/>
      <c r="K151" s="153"/>
      <c r="L151" s="91"/>
    </row>
    <row r="152" spans="1:12" s="102" customFormat="1" ht="19.5" customHeight="1">
      <c r="A152" s="97" t="s">
        <v>48</v>
      </c>
      <c r="B152" s="142">
        <f>56265.6-5800</f>
        <v>50465.6</v>
      </c>
      <c r="C152" s="98">
        <v>410786</v>
      </c>
      <c r="D152" s="99">
        <f>9702+30405.7+10266.3+91.6-29196.2+1482.1</f>
        <v>22751.499999999996</v>
      </c>
      <c r="E152" s="101">
        <f>D152/D108*100</f>
        <v>40.28974830749942</v>
      </c>
      <c r="F152" s="89">
        <f t="shared" si="19"/>
        <v>45.08318537776227</v>
      </c>
      <c r="G152" s="89">
        <f t="shared" si="14"/>
        <v>5.538528576923263</v>
      </c>
      <c r="H152" s="90">
        <f t="shared" si="18"/>
        <v>27714.100000000002</v>
      </c>
      <c r="I152" s="90">
        <f>C152-D152</f>
        <v>388034.5</v>
      </c>
      <c r="K152" s="153"/>
      <c r="L152" s="91"/>
    </row>
    <row r="153" spans="1:12" s="102" customFormat="1" ht="18.75">
      <c r="A153" s="97" t="s">
        <v>97</v>
      </c>
      <c r="B153" s="142">
        <v>11320.8</v>
      </c>
      <c r="C153" s="98">
        <v>67925</v>
      </c>
      <c r="D153" s="99">
        <f>1886.8+1886.8+1886.8+1886.8+1886.8</f>
        <v>9434</v>
      </c>
      <c r="E153" s="101">
        <f>D153/D108*100</f>
        <v>16.706304442913638</v>
      </c>
      <c r="F153" s="89">
        <f t="shared" si="17"/>
        <v>83.33333333333334</v>
      </c>
      <c r="G153" s="89">
        <f t="shared" si="14"/>
        <v>13.888847994111153</v>
      </c>
      <c r="H153" s="90">
        <f t="shared" si="18"/>
        <v>1886.7999999999993</v>
      </c>
      <c r="I153" s="90">
        <f t="shared" si="16"/>
        <v>58491</v>
      </c>
      <c r="K153" s="153"/>
      <c r="L153" s="91"/>
    </row>
    <row r="154" spans="1:12" s="2" customFormat="1" ht="19.5" thickBot="1">
      <c r="A154" s="26" t="s">
        <v>27</v>
      </c>
      <c r="B154" s="143"/>
      <c r="C154" s="60"/>
      <c r="D154" s="41">
        <f>D43+D70+D73+D78+D80+D88+D103+D108+D101+D85+D99</f>
        <v>63411.499999999985</v>
      </c>
      <c r="E154" s="14"/>
      <c r="F154" s="14"/>
      <c r="G154" s="6"/>
      <c r="H154" s="49"/>
      <c r="I154" s="41"/>
      <c r="K154" s="153"/>
      <c r="L154" s="30"/>
    </row>
    <row r="155" spans="1:12" ht="19.5" thickBot="1">
      <c r="A155" s="11" t="s">
        <v>16</v>
      </c>
      <c r="B155" s="37">
        <f>B6+B18+B33+B43+B52+B60+B70+B73+B78+B80+B88+B91+B96+B103+B108+B101+B85+B99+B46</f>
        <v>390961.99999999994</v>
      </c>
      <c r="C155" s="37">
        <f>C6+C18+C33+C43+C52+C60+C70+C73+C78+C80+C88+C91+C96+C103+C108+C101+C85+C99+C46</f>
        <v>2485266.8000000003</v>
      </c>
      <c r="D155" s="37">
        <f>D6+D18+D33+D43+D52+D60+D70+D73+D78+D80+D88+D91+D96+D103+D108+D101+D85+D99+D46</f>
        <v>306005.5</v>
      </c>
      <c r="E155" s="25">
        <v>100</v>
      </c>
      <c r="F155" s="3">
        <f>D155/B155*100</f>
        <v>78.26988300653261</v>
      </c>
      <c r="G155" s="3">
        <f aca="true" t="shared" si="20" ref="G155:G161">D155/C155*100</f>
        <v>12.312782675888156</v>
      </c>
      <c r="H155" s="37">
        <f>B155-D155</f>
        <v>84956.49999999994</v>
      </c>
      <c r="I155" s="37">
        <f aca="true" t="shared" si="21" ref="I155:I161">C155-D155</f>
        <v>2179261.3000000003</v>
      </c>
      <c r="K155" s="136">
        <f>D155-114199.9</f>
        <v>191805.6</v>
      </c>
      <c r="L155" s="157"/>
    </row>
    <row r="156" spans="1:12" ht="18.75">
      <c r="A156" s="15" t="s">
        <v>5</v>
      </c>
      <c r="B156" s="48">
        <f>B8+B20+B34+B53+B61+B92+B116+B121+B47+B143+B134+B104</f>
        <v>159012.69999999998</v>
      </c>
      <c r="C156" s="48">
        <f>C8+C20+C34+C53+C61+C92+C116+C121+C47+C143+C134+C104</f>
        <v>984456.8000000002</v>
      </c>
      <c r="D156" s="48">
        <f>D8+D20+D34+D53+D61+D92+D116+D121+D47+D143+D134+D104</f>
        <v>154541.1</v>
      </c>
      <c r="E156" s="6">
        <f>D156/D155*100</f>
        <v>50.50271972235794</v>
      </c>
      <c r="F156" s="6">
        <f aca="true" t="shared" si="22" ref="F156:F161">D156/B156*100</f>
        <v>97.18789757044564</v>
      </c>
      <c r="G156" s="6">
        <f t="shared" si="20"/>
        <v>15.698108845405912</v>
      </c>
      <c r="H156" s="49">
        <f aca="true" t="shared" si="23" ref="H156:H161">B156-D156</f>
        <v>4471.599999999977</v>
      </c>
      <c r="I156" s="59">
        <f t="shared" si="21"/>
        <v>829915.7000000002</v>
      </c>
      <c r="K156" s="153"/>
      <c r="L156" s="157"/>
    </row>
    <row r="157" spans="1:12" ht="18.75">
      <c r="A157" s="15" t="s">
        <v>0</v>
      </c>
      <c r="B157" s="162">
        <f>B11+B23+B36+B56+B63+B93+B50+B144+B110+B113+B97+B141+B130</f>
        <v>39907.399999999994</v>
      </c>
      <c r="C157" s="162">
        <f>C11+C23+C36+C56+C63+C93+C50+C144+C110+C113+C97+C141+C130</f>
        <v>125178.8</v>
      </c>
      <c r="D157" s="162">
        <f>D11+D23+D36+D56+D63+D93+D50+D144+D110+D113+D97+D141+D130</f>
        <v>16979.399999999998</v>
      </c>
      <c r="E157" s="6">
        <f>D157/D155*100</f>
        <v>5.548723797448084</v>
      </c>
      <c r="F157" s="6">
        <f t="shared" si="22"/>
        <v>42.54699629642623</v>
      </c>
      <c r="G157" s="6">
        <f t="shared" si="20"/>
        <v>13.564117885776184</v>
      </c>
      <c r="H157" s="49">
        <f>B157-D157</f>
        <v>22927.999999999996</v>
      </c>
      <c r="I157" s="59">
        <f t="shared" si="21"/>
        <v>108199.40000000001</v>
      </c>
      <c r="K157" s="153"/>
      <c r="L157" s="158"/>
    </row>
    <row r="158" spans="1:12" ht="18.75">
      <c r="A158" s="15" t="s">
        <v>1</v>
      </c>
      <c r="B158" s="163">
        <f>B22+B10+B55+B49+B62+B35+B125</f>
        <v>9905.499999999998</v>
      </c>
      <c r="C158" s="163">
        <f>C22+C10+C55+C49+C62+C35+C125</f>
        <v>48385.3</v>
      </c>
      <c r="D158" s="163">
        <f>D22+D10+D55+D49+D62+D35+D125</f>
        <v>6125.4</v>
      </c>
      <c r="E158" s="6">
        <f>D158/D155*100</f>
        <v>2.001728727098042</v>
      </c>
      <c r="F158" s="6">
        <f t="shared" si="22"/>
        <v>61.83837262127102</v>
      </c>
      <c r="G158" s="6">
        <f t="shared" si="20"/>
        <v>12.659630094264166</v>
      </c>
      <c r="H158" s="49">
        <f t="shared" si="23"/>
        <v>3780.0999999999985</v>
      </c>
      <c r="I158" s="59">
        <f t="shared" si="21"/>
        <v>42259.9</v>
      </c>
      <c r="K158" s="153"/>
      <c r="L158" s="157"/>
    </row>
    <row r="159" spans="1:12" ht="21" customHeight="1">
      <c r="A159" s="15" t="s">
        <v>12</v>
      </c>
      <c r="B159" s="163">
        <f>B12+B24+B105+B64+B38+B94+B132+B57+B139+B119+B44</f>
        <v>11235.199999999999</v>
      </c>
      <c r="C159" s="163">
        <f>C12+C24+C105+C64+C38+C94+C132+C57+C139+C119+C44</f>
        <v>89996.19999999998</v>
      </c>
      <c r="D159" s="163">
        <f>D12+D24+D105+D64+D38+D94+D132+D57+D139+D119+D44</f>
        <v>9075.3</v>
      </c>
      <c r="E159" s="6">
        <f>D159/D155*100</f>
        <v>2.9657310081027957</v>
      </c>
      <c r="F159" s="6">
        <f t="shared" si="22"/>
        <v>80.77559812019368</v>
      </c>
      <c r="G159" s="6">
        <f t="shared" si="20"/>
        <v>10.084092439458555</v>
      </c>
      <c r="H159" s="49">
        <f>B159-D159</f>
        <v>2159.8999999999996</v>
      </c>
      <c r="I159" s="59">
        <f t="shared" si="21"/>
        <v>80920.89999999998</v>
      </c>
      <c r="K159" s="153"/>
      <c r="L159" s="158"/>
    </row>
    <row r="160" spans="1:12" ht="18.75">
      <c r="A160" s="15" t="s">
        <v>2</v>
      </c>
      <c r="B160" s="48">
        <f>B9+B21+B48+B54+B124</f>
        <v>16.3</v>
      </c>
      <c r="C160" s="48">
        <f>C9+C21+C48+C54+C124</f>
        <v>122.9</v>
      </c>
      <c r="D160" s="48">
        <f>D9+D21+D48+D54+D124</f>
        <v>16.3</v>
      </c>
      <c r="E160" s="6">
        <f>D160/D155*100</f>
        <v>0.005326701644251492</v>
      </c>
      <c r="F160" s="6">
        <f t="shared" si="22"/>
        <v>100</v>
      </c>
      <c r="G160" s="6">
        <f t="shared" si="20"/>
        <v>13.262815296989421</v>
      </c>
      <c r="H160" s="49">
        <f t="shared" si="23"/>
        <v>0</v>
      </c>
      <c r="I160" s="59">
        <f t="shared" si="21"/>
        <v>106.60000000000001</v>
      </c>
      <c r="K160" s="153"/>
      <c r="L160" s="157"/>
    </row>
    <row r="161" spans="1:12" ht="19.5" thickBot="1">
      <c r="A161" s="81" t="s">
        <v>25</v>
      </c>
      <c r="B161" s="61">
        <f>B155-B156-B157-B158-B159-B160</f>
        <v>170884.89999999997</v>
      </c>
      <c r="C161" s="61">
        <f>C155-C156-C157-C158-C159-C160</f>
        <v>1237126.8</v>
      </c>
      <c r="D161" s="61">
        <f>D155-D156-D157-D158-D159-D160</f>
        <v>119268</v>
      </c>
      <c r="E161" s="28">
        <f>D161/D155*100</f>
        <v>38.975770043348895</v>
      </c>
      <c r="F161" s="28">
        <f t="shared" si="22"/>
        <v>69.79434695517277</v>
      </c>
      <c r="G161" s="28">
        <f t="shared" si="20"/>
        <v>9.64072559094185</v>
      </c>
      <c r="H161" s="82">
        <f t="shared" si="23"/>
        <v>51616.899999999965</v>
      </c>
      <c r="I161" s="82">
        <f t="shared" si="21"/>
        <v>1117858.8</v>
      </c>
      <c r="K161" s="153"/>
      <c r="L161" s="158"/>
    </row>
    <row r="162" spans="7:8" ht="12.75">
      <c r="G162" s="159"/>
      <c r="H162" s="159"/>
    </row>
    <row r="163" spans="3:11" ht="12.75">
      <c r="C163" s="153"/>
      <c r="G163" s="159"/>
      <c r="H163" s="159"/>
      <c r="I163" s="159"/>
      <c r="K163" s="160"/>
    </row>
    <row r="164" spans="4:11" ht="12.75">
      <c r="D164" s="153"/>
      <c r="G164" s="159"/>
      <c r="H164" s="159"/>
      <c r="K164" s="160"/>
    </row>
    <row r="165" spans="7:11" ht="12.75">
      <c r="G165" s="159"/>
      <c r="H165" s="159"/>
      <c r="K165" s="160"/>
    </row>
    <row r="166" spans="2:8" ht="12.75">
      <c r="B166" s="161"/>
      <c r="C166" s="161"/>
      <c r="D166" s="153"/>
      <c r="G166" s="159"/>
      <c r="H166" s="159"/>
    </row>
    <row r="167" spans="7:8" ht="12.75">
      <c r="G167" s="159"/>
      <c r="H167" s="159"/>
    </row>
    <row r="168" spans="2:8" ht="12.75">
      <c r="B168" s="161"/>
      <c r="C168" s="161"/>
      <c r="D168" s="161"/>
      <c r="G168" s="159"/>
      <c r="H168" s="159"/>
    </row>
    <row r="169" spans="2:8" ht="12.75">
      <c r="B169" s="161"/>
      <c r="G169" s="159"/>
      <c r="H169" s="159"/>
    </row>
    <row r="170" spans="2:8" ht="12.75">
      <c r="B170" s="161"/>
      <c r="C170" s="153"/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7:8" ht="12.75">
      <c r="G175" s="159"/>
      <c r="H175" s="159"/>
    </row>
    <row r="176" spans="3:8" ht="12.75">
      <c r="C176" s="153"/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  <row r="400" spans="7:8" ht="12.75">
      <c r="G400" s="159"/>
      <c r="H400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2485266.8000000003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306005.5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2485266.8000000003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306005.5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2019-02-22T09:59:16Z</cp:lastPrinted>
  <dcterms:created xsi:type="dcterms:W3CDTF">2000-06-20T04:48:00Z</dcterms:created>
  <dcterms:modified xsi:type="dcterms:W3CDTF">2019-02-27T13:01:07Z</dcterms:modified>
  <cp:category/>
  <cp:version/>
  <cp:contentType/>
  <cp:contentStatus/>
</cp:coreProperties>
</file>